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371" windowWidth="15600" windowHeight="9855" firstSheet="39" activeTab="41"/>
  </bookViews>
  <sheets>
    <sheet name="Заголовок" sheetId="1" r:id="rId1"/>
    <sheet name="анкета" sheetId="2" r:id="rId2"/>
    <sheet name="заявление" sheetId="3" r:id="rId3"/>
    <sheet name="доп. инф." sheetId="4" r:id="rId4"/>
    <sheet name="m_inf" sheetId="5" state="hidden" r:id="rId5"/>
    <sheet name="Объекты ВС" sheetId="6" r:id="rId6"/>
    <sheet name="h_values" sheetId="7" state="veryHidden" r:id="rId7"/>
    <sheet name="Усл.метры" sheetId="8" r:id="rId8"/>
    <sheet name="Мощность" sheetId="9" r:id="rId9"/>
    <sheet name="Расч.индекса изм.активов" sheetId="10" r:id="rId10"/>
    <sheet name="Объем Пр" sheetId="11" r:id="rId11"/>
    <sheet name="Объем Гк" sheetId="12" r:id="rId12"/>
    <sheet name="Собств источники" sheetId="13" r:id="rId13"/>
    <sheet name="Потери" sheetId="14" r:id="rId14"/>
    <sheet name="Баланс ВС" sheetId="15" r:id="rId15"/>
    <sheet name="покупная вода" sheetId="16" r:id="rId16"/>
    <sheet name="ЭЭ факт" sheetId="17" r:id="rId17"/>
    <sheet name="Уд расх.ЭЭ" sheetId="18" r:id="rId18"/>
    <sheet name="Стоимость ЭЭ" sheetId="19" r:id="rId19"/>
    <sheet name="Сырье" sheetId="20" r:id="rId20"/>
    <sheet name="Сырье свод" sheetId="21" r:id="rId21"/>
    <sheet name="работы произв. хар." sheetId="22" r:id="rId22"/>
    <sheet name="прочие произв. расх." sheetId="23" r:id="rId23"/>
    <sheet name="оплата труда" sheetId="24" r:id="rId24"/>
    <sheet name="опл.труда по регул. деят." sheetId="25" r:id="rId25"/>
    <sheet name="отчет о ремонтных работах" sheetId="26" r:id="rId26"/>
    <sheet name="тек. ремонт" sheetId="27" r:id="rId27"/>
    <sheet name="кап. ремонт " sheetId="28" r:id="rId28"/>
    <sheet name="осн. фонды" sheetId="29" r:id="rId29"/>
    <sheet name="амортизация" sheetId="30" r:id="rId30"/>
    <sheet name="прочие ремонтные расх." sheetId="31" r:id="rId31"/>
    <sheet name="общехоз. расх." sheetId="32" r:id="rId32"/>
    <sheet name="аренда" sheetId="33" r:id="rId33"/>
    <sheet name="налоги" sheetId="34" r:id="rId34"/>
    <sheet name="прибыль" sheetId="35" r:id="rId35"/>
    <sheet name="источ. кап. вложений" sheetId="36" r:id="rId36"/>
    <sheet name="баз.уровень операц расх" sheetId="37" r:id="rId37"/>
    <sheet name="операц.расходы" sheetId="38" r:id="rId38"/>
    <sheet name="неподконтрол" sheetId="39" r:id="rId39"/>
    <sheet name="метод индекс" sheetId="40" r:id="rId40"/>
    <sheet name="долгоср.параметры" sheetId="41" r:id="rId41"/>
    <sheet name="тарифы" sheetId="42" r:id="rId42"/>
    <sheet name="льготный тариф" sheetId="43" r:id="rId43"/>
    <sheet name="m_followHyperlink" sheetId="44" state="hidden" r:id="rId44"/>
    <sheet name="Изменения" sheetId="45" r:id="rId45"/>
  </sheets>
  <definedNames>
    <definedName name="aActivity">'h_values'!$A$2:$A$10</definedName>
    <definedName name="aDiameter">'h_values'!$H$2:$H$7</definedName>
    <definedName name="aDiameter1">'h_values'!$I$2:$I$7</definedName>
    <definedName name="aObjType">'h_values'!$B$2:$B$10</definedName>
    <definedName name="aObjType1">'h_values'!$K$2:$K$9</definedName>
    <definedName name="aSrcType">'h_values'!$D$2:$D$4</definedName>
    <definedName name="aTreatment">'h_values'!$F$2:$F$8</definedName>
    <definedName name="buyhdr">'покупная вода'!#REF!</definedName>
    <definedName name="currYear">'Заголовок'!$C$15</definedName>
    <definedName name="factYear">'Заголовок'!$C$14</definedName>
    <definedName name="objEE">#REF!</definedName>
    <definedName name="objEEhdr">#REF!</definedName>
    <definedName name="objName">'Объекты ВС'!#REF!</definedName>
    <definedName name="org">'анкета'!$C$6</definedName>
    <definedName name="p1_">'доп. инф.'!$C$4</definedName>
    <definedName name="p2_">'доп. инф.'!$D$4</definedName>
    <definedName name="p3_">'доп. инф.'!$E$5</definedName>
    <definedName name="p4_">'доп. инф.'!$F$5</definedName>
    <definedName name="p5_">'доп. инф.'!$G$5</definedName>
    <definedName name="period">'Заголовок'!$C$16</definedName>
    <definedName name="pg">'доп. инф.'!#REF!</definedName>
    <definedName name="pp">'доп. инф.'!#REF!</definedName>
    <definedName name="sdt">'Усл.метры'!$B$19:$B$24</definedName>
    <definedName name="sup">'Баланс ВС'!#REF!</definedName>
    <definedName name="year1">'Заголовок'!$C$17</definedName>
    <definedName name="year2">'Заголовок'!$C$18</definedName>
    <definedName name="year3">'Заголовок'!$C$19</definedName>
    <definedName name="year4">'Заголовок'!$C$20</definedName>
    <definedName name="year5">'Заголовок'!$C$21</definedName>
  </definedNames>
  <calcPr fullCalcOnLoad="1" fullPrecision="0"/>
</workbook>
</file>

<file path=xl/sharedStrings.xml><?xml version="1.0" encoding="utf-8"?>
<sst xmlns="http://schemas.openxmlformats.org/spreadsheetml/2006/main" count="1889" uniqueCount="699">
  <si>
    <t>№№ п/п</t>
  </si>
  <si>
    <t>Предложение Предприятия</t>
  </si>
  <si>
    <t>Предложение Госкомитета</t>
  </si>
  <si>
    <t>Кол-во</t>
  </si>
  <si>
    <t>Наименование сырья и химреагентов</t>
  </si>
  <si>
    <t>№ п/п</t>
  </si>
  <si>
    <t>Наименование</t>
  </si>
  <si>
    <t>Единица измерения</t>
  </si>
  <si>
    <t>Предложение Предпрития</t>
  </si>
  <si>
    <t>Электрическая энергия</t>
  </si>
  <si>
    <t>1.1</t>
  </si>
  <si>
    <t>Объем покупной энергии</t>
  </si>
  <si>
    <t>1.1.1</t>
  </si>
  <si>
    <t>1.1.2</t>
  </si>
  <si>
    <t>1.1.3</t>
  </si>
  <si>
    <t>Низкое напряжение (НН)</t>
  </si>
  <si>
    <t>Среднее напряжение 1 (СН 1)</t>
  </si>
  <si>
    <t>Среднее напряжение 2 (СН 2)</t>
  </si>
  <si>
    <t>1.1.4</t>
  </si>
  <si>
    <t>Высокое напряжение (ВН)</t>
  </si>
  <si>
    <t>1.2</t>
  </si>
  <si>
    <t>Мощность</t>
  </si>
  <si>
    <t>1.3</t>
  </si>
  <si>
    <t>1.3.1</t>
  </si>
  <si>
    <t>1.3.2</t>
  </si>
  <si>
    <t>1.3.3</t>
  </si>
  <si>
    <t>1.3.4</t>
  </si>
  <si>
    <t>Ставка (тариф) за энергию</t>
  </si>
  <si>
    <t>1.4</t>
  </si>
  <si>
    <t>Ставка за мощность</t>
  </si>
  <si>
    <t>1.5</t>
  </si>
  <si>
    <t>Стоимость электрической энергии</t>
  </si>
  <si>
    <t>1.5.1</t>
  </si>
  <si>
    <t>1.5.2</t>
  </si>
  <si>
    <t>1.5.3</t>
  </si>
  <si>
    <t>1.5.4</t>
  </si>
  <si>
    <t>1.6</t>
  </si>
  <si>
    <t>Средний одноставочный тариф на электрическую энергию</t>
  </si>
  <si>
    <t>1.7</t>
  </si>
  <si>
    <t>Затраты на покупку энергии</t>
  </si>
  <si>
    <t>1.8</t>
  </si>
  <si>
    <t>Затраты на покупку мощности</t>
  </si>
  <si>
    <t>1.9</t>
  </si>
  <si>
    <t>Затраты на электроэнергию всего</t>
  </si>
  <si>
    <t>тыс. кВт.ч</t>
  </si>
  <si>
    <t>руб./кВт.ч</t>
  </si>
  <si>
    <t>тыс. руб</t>
  </si>
  <si>
    <t>Показатели</t>
  </si>
  <si>
    <t>предложение Предприятия</t>
  </si>
  <si>
    <t>предложение Госкомитета</t>
  </si>
  <si>
    <t>1.</t>
  </si>
  <si>
    <t>Балансовая стоимость основных производственных фондов на начало периода регулирования</t>
  </si>
  <si>
    <t xml:space="preserve">РАСЧЕТ АМОРТИЗАЦИОННЫХ ОТЧИСЛЕНИЙ НА ВОССТАНОВЛЕНИЕ ОСНОВНЫХ ПРОИЗВОДСТВЕННЫХ ФОНДОВ В СИСТЕМЕ ВОДОСНАБЖЕНИЯ         </t>
  </si>
  <si>
    <t>тыс. руб.</t>
  </si>
  <si>
    <t>2.</t>
  </si>
  <si>
    <t>Ввод основных производственных фондов</t>
  </si>
  <si>
    <t>Выбытие основных производственных фондов</t>
  </si>
  <si>
    <t>3.</t>
  </si>
  <si>
    <t>4.</t>
  </si>
  <si>
    <t>Средняя стоимость основных производственных фондов</t>
  </si>
  <si>
    <t>5.</t>
  </si>
  <si>
    <t>Средняя норма амортизации, %</t>
  </si>
  <si>
    <t>6.</t>
  </si>
  <si>
    <t>Сумма амортизационных отчислений</t>
  </si>
  <si>
    <t>Общехозяйственные расходы</t>
  </si>
  <si>
    <t>Цеховые расходы</t>
  </si>
  <si>
    <t>Дата ввода</t>
  </si>
  <si>
    <t>Первоначальная стоимость</t>
  </si>
  <si>
    <t>Шифр</t>
  </si>
  <si>
    <t>Норма амортизации</t>
  </si>
  <si>
    <t>Амортизация с начала амортизации</t>
  </si>
  <si>
    <t>Остаточная стоимость</t>
  </si>
  <si>
    <t>предожение Предприятия</t>
  </si>
  <si>
    <t>тыс.руб</t>
  </si>
  <si>
    <t>Наименование 1</t>
  </si>
  <si>
    <t xml:space="preserve">Водоснабжение </t>
  </si>
  <si>
    <t>2.1</t>
  </si>
  <si>
    <t>2.2</t>
  </si>
  <si>
    <t>3.1</t>
  </si>
  <si>
    <t>3.2</t>
  </si>
  <si>
    <t>4.1</t>
  </si>
  <si>
    <t>4.2</t>
  </si>
  <si>
    <t>Наименование объекта</t>
  </si>
  <si>
    <t>Основная номенклатура работ</t>
  </si>
  <si>
    <t>Хозспособом</t>
  </si>
  <si>
    <t>Подряд</t>
  </si>
  <si>
    <t>Стоимость ремонта по предложению Предприятия</t>
  </si>
  <si>
    <t>Всего</t>
  </si>
  <si>
    <t>Стоимость ремонта по предложению Госкомитета</t>
  </si>
  <si>
    <t>Итого</t>
  </si>
  <si>
    <t>стоимость работ</t>
  </si>
  <si>
    <t>Материалы и зап. части</t>
  </si>
  <si>
    <t>ПЛАНИРУЕМЫЕ ЗАТРАТЫ НА ТЕКУЩИЙ РЕМОНТ ЦЕНТРАЛИЗОВАННЫХ СИСТЕМ ВОДОСНАБЖЕНИЯ ИЛИ ОБЪЕКТОВ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</si>
  <si>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</si>
  <si>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РАСЧЕТ ТАРИФОВ В СИСТЕМЕ ВОДОСНАБЖЕНИЯ</t>
  </si>
  <si>
    <t>Почтовый адрес:</t>
  </si>
  <si>
    <t>Код</t>
  </si>
  <si>
    <t>отчитывающейся организации по ОКПО</t>
  </si>
  <si>
    <t>вида деятельности</t>
  </si>
  <si>
    <t>отрасли по ОКОНХ</t>
  </si>
  <si>
    <t>территории по ОКАТО</t>
  </si>
  <si>
    <t>министерства, (ведомства) органа управления по ОКОГУ</t>
  </si>
  <si>
    <t>организационно-правовой формы по ОКОПФ</t>
  </si>
  <si>
    <t>формы собственности по ОКФС</t>
  </si>
  <si>
    <t>Наименование организации</t>
  </si>
  <si>
    <t>Всего:</t>
  </si>
  <si>
    <t>Вид ремонта</t>
  </si>
  <si>
    <t>Стоимость ремонта, тыс. руб.</t>
  </si>
  <si>
    <t>ИСТОЧНИКИ ФИНАНСИРОВАНИЯ КАПИТАЛЬНЫХ ВЛОЖЕНИЙ</t>
  </si>
  <si>
    <t>тыс.руб.</t>
  </si>
  <si>
    <t>2</t>
  </si>
  <si>
    <t>Амортизация</t>
  </si>
  <si>
    <t>переоценка основных средств</t>
  </si>
  <si>
    <t>2.3</t>
  </si>
  <si>
    <t>Прибыль</t>
  </si>
  <si>
    <t>Займы и кредиты</t>
  </si>
  <si>
    <t>2.4</t>
  </si>
  <si>
    <t>Бюджетные средства</t>
  </si>
  <si>
    <t>2.5</t>
  </si>
  <si>
    <t>регионального бюджета</t>
  </si>
  <si>
    <t>местного бюджета</t>
  </si>
  <si>
    <t>Прочее</t>
  </si>
  <si>
    <t>3</t>
  </si>
  <si>
    <t>4</t>
  </si>
  <si>
    <t>Наименование показателя</t>
  </si>
  <si>
    <t>Всего расходов в том числе:</t>
  </si>
  <si>
    <t>Расходы на оплату работ и услуг, выполняемых сторонними организациями</t>
  </si>
  <si>
    <t>юридические услуги</t>
  </si>
  <si>
    <t>управленческие услуги</t>
  </si>
  <si>
    <t>5</t>
  </si>
  <si>
    <t>Служебные командировки</t>
  </si>
  <si>
    <t>6</t>
  </si>
  <si>
    <t>Страхование объектов</t>
  </si>
  <si>
    <t>7</t>
  </si>
  <si>
    <t>Прочие расходы</t>
  </si>
  <si>
    <t>В обязательном порядке предоставляется калькуляция распределения затрат по видам деятельности согласно учетной политики организации!</t>
  </si>
  <si>
    <t>Обучение персонала</t>
  </si>
  <si>
    <t>Расходы на оборудование</t>
  </si>
  <si>
    <t>РАСЧЕТ СТОИМОСТИ РАБОТ И УСЛУГ ПРОИЗВОДСТВЕННОГО ХАРАКТЕРА</t>
  </si>
  <si>
    <t>Организация-поставщик услуг</t>
  </si>
  <si>
    <t>Наименование услуги, работы</t>
  </si>
  <si>
    <t xml:space="preserve"> № и дата Договора</t>
  </si>
  <si>
    <t>РАСХОДЫ НА ОПЛАТУ ТРУДА</t>
  </si>
  <si>
    <t>Производственный персонал</t>
  </si>
  <si>
    <t>Нормативная численность</t>
  </si>
  <si>
    <t>чел.</t>
  </si>
  <si>
    <t>Фактическая численность</t>
  </si>
  <si>
    <t>Численность, принятая для расчета</t>
  </si>
  <si>
    <t>Средняя заработная плата</t>
  </si>
  <si>
    <t>прочее</t>
  </si>
  <si>
    <t>Фонд оплаты труда (включенного в себестоимость)</t>
  </si>
  <si>
    <t>2.6</t>
  </si>
  <si>
    <t>2.7</t>
  </si>
  <si>
    <t>2.7.1</t>
  </si>
  <si>
    <t>2.7.2</t>
  </si>
  <si>
    <t>Административный персонал</t>
  </si>
  <si>
    <t>Реагенты</t>
  </si>
  <si>
    <t>Расход (ед. изм)</t>
  </si>
  <si>
    <t>Цена за тонну</t>
  </si>
  <si>
    <t>Суммарные затраты</t>
  </si>
  <si>
    <t>Единица измерений</t>
  </si>
  <si>
    <t>план</t>
  </si>
  <si>
    <t>факт</t>
  </si>
  <si>
    <t>ожид</t>
  </si>
  <si>
    <t>Предложение предприятия</t>
  </si>
  <si>
    <t>1.2.1</t>
  </si>
  <si>
    <t>Расходы на горюче-смазочные материалы, превыщающие 5% общей величины расходов на сырье и материалы</t>
  </si>
  <si>
    <t>2.1.1</t>
  </si>
  <si>
    <t>2.1.2</t>
  </si>
  <si>
    <t>2.1.3</t>
  </si>
  <si>
    <t>Вид материалов и малоценных основных средств 1</t>
  </si>
  <si>
    <t>3.1.1</t>
  </si>
  <si>
    <t>3.1.2</t>
  </si>
  <si>
    <t>3.1.3</t>
  </si>
  <si>
    <t>Цена за единицу</t>
  </si>
  <si>
    <t>РАСХОДЫ НА СЫРЬЕ И МАТЕРИАЛЫ</t>
  </si>
  <si>
    <t>РАСХОДЫ НА СЫРЬЕ И МАТЕРИАЛЫ (СВОДНАЯ)</t>
  </si>
  <si>
    <t>Горюче-смазочные материалы</t>
  </si>
  <si>
    <t>Материалы и малоценные основные средства</t>
  </si>
  <si>
    <t>Темп роста</t>
  </si>
  <si>
    <t>гр6/гр4   %</t>
  </si>
  <si>
    <t>гр10/гр7 %</t>
  </si>
  <si>
    <t>гр7/гр5   %</t>
  </si>
  <si>
    <t>гр11/гр7 %</t>
  </si>
  <si>
    <t>гр14/гр10 %</t>
  </si>
  <si>
    <t>гр15/гр11 %</t>
  </si>
  <si>
    <t>РАСХОДЫ НА ЭЛЕКТРИЧЕСКУЮ ЭНЕРГИЮ</t>
  </si>
  <si>
    <t>РАСХОДЫ НА ПРИОБРЕТЕНИЕ ХОЛОДНОЙ ВОДЫ</t>
  </si>
  <si>
    <t>Объем холодной воды</t>
  </si>
  <si>
    <t>Тариф на холодную воду</t>
  </si>
  <si>
    <t>План</t>
  </si>
  <si>
    <t>Факт</t>
  </si>
  <si>
    <t>Ожид.</t>
  </si>
  <si>
    <t>тыс.куб.м</t>
  </si>
  <si>
    <t>руб/куб.м</t>
  </si>
  <si>
    <t>Тарифная ставка рабочего 1 разряда</t>
  </si>
  <si>
    <t>Индекс роста номинальной заработной платы</t>
  </si>
  <si>
    <t>Тарифная ставка рабочего 1 разряда с учетом дефлятора</t>
  </si>
  <si>
    <t>Выплаты, связанные с режимом работы и условиями труда на 1 работника в месяц</t>
  </si>
  <si>
    <t>Процент</t>
  </si>
  <si>
    <t>Сумма выплат</t>
  </si>
  <si>
    <t>Текущее премирование</t>
  </si>
  <si>
    <t>процент</t>
  </si>
  <si>
    <t>сумма выплат</t>
  </si>
  <si>
    <t>1</t>
  </si>
  <si>
    <t>руб.</t>
  </si>
  <si>
    <t>%</t>
  </si>
  <si>
    <t>Дополнительные премирование, включая вознаграждение за выслугу лет</t>
  </si>
  <si>
    <t>2.6.1</t>
  </si>
  <si>
    <t>2.6.2</t>
  </si>
  <si>
    <t>2.8</t>
  </si>
  <si>
    <t>2.9</t>
  </si>
  <si>
    <t>4.3</t>
  </si>
  <si>
    <t>ожид.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</si>
  <si>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</si>
  <si>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ПЛАНИРУЕМЫЕ ЗАТРАТЫ НА КАПИТАЛЬНЫЙ РЕМОНТ ЦЕНТРАЛИЗОВАННЫХ СИСТЕМ ВОДОСНАБЖЕНИЯ ИЛИ ОБЪЕКТОВ</t>
  </si>
  <si>
    <t>Балансовая стоимость автотранспортных средств</t>
  </si>
  <si>
    <t>Ввод автотранспортных средств</t>
  </si>
  <si>
    <t>Выбытие автотранспортных средств</t>
  </si>
  <si>
    <t>Средняя стоимость автотранспортных средств</t>
  </si>
  <si>
    <t>Расходы на горюче-смазочные материалы, составляющие менее 5% общей величины расходов на сырье и материалы</t>
  </si>
  <si>
    <t>услуги связи и интернет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</si>
  <si>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</si>
  <si>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</si>
  <si>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</si>
  <si>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</si>
  <si>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РАСХОДЫ НА АРЕНДНУЮ ПЛАТУ ЦЕНТРАЛИЗОВАННЫХ СИСТЕМ ВОДОСНАБЖЕНИЯ</t>
  </si>
  <si>
    <t>Расходы на арендную плату, лизинговые платежи, концессионную плату</t>
  </si>
  <si>
    <t>Лизинговые платежи</t>
  </si>
  <si>
    <t>Аренда земельных участков</t>
  </si>
  <si>
    <t>РАСХОДЫ, СВЯЗАННЫЕ С УПЛАТОЙ НАЛОГОВ И СБОРОВ</t>
  </si>
  <si>
    <t xml:space="preserve">Расходы, связанные с уплатой налогов и сборов:  </t>
  </si>
  <si>
    <t>Налог на прибыль</t>
  </si>
  <si>
    <t>Налог на имущество организаций</t>
  </si>
  <si>
    <t>Плата за негативное воздействие на окружающую среду</t>
  </si>
  <si>
    <t>Водный налог и плата за пользование водным объектом</t>
  </si>
  <si>
    <t>Земельный налог</t>
  </si>
  <si>
    <t>Транспортный налог</t>
  </si>
  <si>
    <t>Прочие налоги сборы, за исключением налогов и сборов с фонда оплаты труда, учитываемых в составе производственных, цеховых и административных расходов</t>
  </si>
  <si>
    <t>Средства на возврат займов и кредитов и процентов по ним</t>
  </si>
  <si>
    <t>Прочие производственные расходы в том числе:</t>
  </si>
  <si>
    <t>Услуги по обращению с осадком сточных вод</t>
  </si>
  <si>
    <t>Контроль качества воды и сточных вод</t>
  </si>
  <si>
    <t>Расходы на аварийно-диспетчерское обслуживание</t>
  </si>
  <si>
    <t>1.4.1</t>
  </si>
  <si>
    <t>1.4.2</t>
  </si>
  <si>
    <t>1.4.3</t>
  </si>
  <si>
    <t>Расходы на приобретение сырья и материалов и их хранение</t>
  </si>
  <si>
    <t>Работы и услуги производственного характера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</si>
  <si>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</si>
  <si>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Отчисления на социальные нужды производственного персонала, в том числе налоги и сборы</t>
  </si>
  <si>
    <t>Отчисления на социальные нужды цехового персонала, в том числе налоги и сборы</t>
  </si>
  <si>
    <t>Отчисления на социальные нужды административного персонала, в том числе налоги и сборы</t>
  </si>
  <si>
    <t>В обязательном порядке предоставляется утвержденный план текущего ремонта с перечнем работ, обеъмом работ в стоимостном выражении!</t>
  </si>
  <si>
    <t>Расходы на капитальный ремонт централизованных систем водоснабжения</t>
  </si>
  <si>
    <t>Автотранспортные средства (закрепленные за водоснабжением)</t>
  </si>
  <si>
    <t>Водоснабжение (кроме автотранспорта, закрепленного за водоснабжением)</t>
  </si>
  <si>
    <t>Амортизация автотранспортных средств, закрепленных за сферой водоснабжением</t>
  </si>
  <si>
    <t>АДМИНИСТРАТИВНЫЕ РАСХОДЫ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</si>
  <si>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</si>
  <si>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3.3</t>
  </si>
  <si>
    <t>Расходы по охране объектов и территорий</t>
  </si>
  <si>
    <t>Расходы на текущий ремонт централизованных систем водоснабжения</t>
  </si>
  <si>
    <t>8</t>
  </si>
  <si>
    <t>ОБЪЕМ ВОДОСНАБЖЕНИЯ</t>
  </si>
  <si>
    <t>ТАРИФ НА ВОДОСНАБЖЕНИЕ</t>
  </si>
  <si>
    <t>ДОПОЛНИТЕЛЬНАЯ ИНФОРМАЦИЯ</t>
  </si>
  <si>
    <t>Является ли организация плательщиком НДС</t>
  </si>
  <si>
    <t>Ставка налога на прибыль, %</t>
  </si>
  <si>
    <t>Производственные расходы:</t>
  </si>
  <si>
    <t>1.1.5</t>
  </si>
  <si>
    <t>НЕПОДКОНТРОЛЬНЫЕ РАСХОДЫ</t>
  </si>
  <si>
    <t>Покупная вода</t>
  </si>
  <si>
    <t>Налоги и сборы</t>
  </si>
  <si>
    <t>Арендная и концессионная плата, лизинговые платежи</t>
  </si>
  <si>
    <t>Экономия расходов</t>
  </si>
  <si>
    <t>Расходы на обслуживание бесхозяйных сетей</t>
  </si>
  <si>
    <t>Рсходы на компенсацию экономически обоснованных расходов</t>
  </si>
  <si>
    <t>НЕОБХОДИМАЯ ВАЛОВАЯ ВЫРУЧКА</t>
  </si>
  <si>
    <t>Операционные расходы</t>
  </si>
  <si>
    <t>Расходы на электрическую энергию</t>
  </si>
  <si>
    <t>Неподконтрольные расходы</t>
  </si>
  <si>
    <t>Нормативная прибыль в том числе:</t>
  </si>
  <si>
    <t>Расходы на социальные нужды, предусмотренные коллективным договором</t>
  </si>
  <si>
    <t>ПРОЧИЕ ПРОИЗВОДСТВЕННЫЕ РАСХОДЫ</t>
  </si>
  <si>
    <t>Прочие производственные расходы</t>
  </si>
  <si>
    <t>Расходы на материалы и малоценные основные средства, превыщающие 5% общей величины расходов на сырье и материалы</t>
  </si>
  <si>
    <t>Минимальный размер оплаты труда по отраслевому тарифному соглашению</t>
  </si>
  <si>
    <t>СПРАВКА О СОСТОЯНИИ ОСНОВНЫХ ФОНДОВ НА НАЧАЛО ТЕКУЩЕГО ПЕРИОДА РЕГУЛИРОВНИЯ В СИСТЕМЕ ВОДОСНАБЖЕНИЯ (ПО БУХГАЛТЕРСКОМУ УЧЕТУ)</t>
  </si>
  <si>
    <t>Протяженность сетей км</t>
  </si>
  <si>
    <t>Всего по предприятию</t>
  </si>
  <si>
    <t>из подземных источников, подъем насосом</t>
  </si>
  <si>
    <t>Объекты осуществления регулируемой деятельности</t>
  </si>
  <si>
    <t>№ строки</t>
  </si>
  <si>
    <t>наименование показателя</t>
  </si>
  <si>
    <t>Объем отпуска  воды  из сети</t>
  </si>
  <si>
    <t>тыс.м3</t>
  </si>
  <si>
    <t xml:space="preserve">Объем отпуска воды для подключающихся новых абонентов </t>
  </si>
  <si>
    <t>объем воды для новых (подключаемых) абонентов</t>
  </si>
  <si>
    <t>объем воды абонетов планируется прекращение подачи воды</t>
  </si>
  <si>
    <t>Изменение объема воды, связанное с изменением нормативов потребления и переходом к расчету по приборам учета</t>
  </si>
  <si>
    <t>снижение</t>
  </si>
  <si>
    <t>рост</t>
  </si>
  <si>
    <t xml:space="preserve">    k=2  </t>
  </si>
  <si>
    <t xml:space="preserve">    k=3</t>
  </si>
  <si>
    <t xml:space="preserve">    k=4</t>
  </si>
  <si>
    <t>Темп изменения потребления воды</t>
  </si>
  <si>
    <t>Баланс водоснабжения</t>
  </si>
  <si>
    <t>плановые показатели</t>
  </si>
  <si>
    <t>фактические показатели</t>
  </si>
  <si>
    <t>ожидаемое</t>
  </si>
  <si>
    <t>в том числе:</t>
  </si>
  <si>
    <t>- из собственных источников (поднято воды)</t>
  </si>
  <si>
    <t>- объем приобретенной воды</t>
  </si>
  <si>
    <t xml:space="preserve">2. </t>
  </si>
  <si>
    <t>Полезный отпуск воды</t>
  </si>
  <si>
    <t>На собственное  производство (прочие виды деятельности)</t>
  </si>
  <si>
    <t>Сторонним потребителям:</t>
  </si>
  <si>
    <t>4.2.1</t>
  </si>
  <si>
    <t>население</t>
  </si>
  <si>
    <t>4.2.2</t>
  </si>
  <si>
    <t>бюджетные организации</t>
  </si>
  <si>
    <t>4.2.3</t>
  </si>
  <si>
    <t>прочие потребители</t>
  </si>
  <si>
    <t>4.2.4</t>
  </si>
  <si>
    <t>другим водопроводам</t>
  </si>
  <si>
    <t>4.2.4.1</t>
  </si>
  <si>
    <t>№ пп</t>
  </si>
  <si>
    <t>Показатель</t>
  </si>
  <si>
    <t xml:space="preserve">Расходы при производстве (водоподготовке) питьевой (технической воды) </t>
  </si>
  <si>
    <t>Расходы при транспортировке питьевой (технической) воды</t>
  </si>
  <si>
    <t xml:space="preserve">Расходы на хозяйственно-бытовые нужды организации </t>
  </si>
  <si>
    <t>в том числе СН1</t>
  </si>
  <si>
    <t>в том числе СН2</t>
  </si>
  <si>
    <t>в том числе ВН</t>
  </si>
  <si>
    <t>Добавить строку</t>
  </si>
  <si>
    <t>ʼ</t>
  </si>
  <si>
    <t>РЕМОНТНЫЕ РАСХОДЫ</t>
  </si>
  <si>
    <t>Затраты на холодную воду</t>
  </si>
  <si>
    <t>тыс.руб.руб/куб.м</t>
  </si>
  <si>
    <t xml:space="preserve"> годовые амортизационные отчисления</t>
  </si>
  <si>
    <t>налоги</t>
  </si>
  <si>
    <t>Концессионная плата</t>
  </si>
  <si>
    <t>кадастровая стоимость</t>
  </si>
  <si>
    <t>налоговая ставка</t>
  </si>
  <si>
    <t>Един.изме-рения</t>
  </si>
  <si>
    <t>Аренда централизованных систем водоснабжения  либо объектов, входящих в состав таких систем</t>
  </si>
  <si>
    <t>на долгосрочный период регулирования для формирования  тарифов</t>
  </si>
  <si>
    <t>Наименование параметров</t>
  </si>
  <si>
    <t xml:space="preserve">       Долгосрочные параметры регулирования, устанавливаемые</t>
  </si>
  <si>
    <t xml:space="preserve">      с использованием метода индексации установленных тарифов</t>
  </si>
  <si>
    <t>Базовый уровень операционных расходов</t>
  </si>
  <si>
    <t>Индекс эффективности операционных расходов</t>
  </si>
  <si>
    <t xml:space="preserve">Нормативный уровень прибыли </t>
  </si>
  <si>
    <t>№п/п</t>
  </si>
  <si>
    <t xml:space="preserve">Показатели энергосбережения и энергетической эффективности: в том числе </t>
  </si>
  <si>
    <t>удельный расход электрической энергии</t>
  </si>
  <si>
    <t>кВтч./м.куб.</t>
  </si>
  <si>
    <t>НВВ</t>
  </si>
  <si>
    <t>Объем</t>
  </si>
  <si>
    <t>Тариф</t>
  </si>
  <si>
    <t xml:space="preserve">Рост </t>
  </si>
  <si>
    <t>Тариф для населения</t>
  </si>
  <si>
    <t>федерального бюджета</t>
  </si>
  <si>
    <t>Расходы на уплату процентов по займам и кредитам, не учитываемые при распределении налогооблагаемой базы налога на прибыль</t>
  </si>
  <si>
    <t>ОПРЕДЕЛЕНИЕ БАЗОВОГО  УРОВНЯ ОПЕРАЦИОННЫХ РАСХОДОВ</t>
  </si>
  <si>
    <t>Единица измере-ния</t>
  </si>
  <si>
    <t>1п.</t>
  </si>
  <si>
    <t>2п.</t>
  </si>
  <si>
    <t>Индекс эффективности операционных операционных расходов (ИЭР)</t>
  </si>
  <si>
    <t>Индекс потребительских цен  на расчетный период регулирования (ИПЦ)</t>
  </si>
  <si>
    <t>Итого коэффициент индексации</t>
  </si>
  <si>
    <t>Расчет нормативной прибыли</t>
  </si>
  <si>
    <t>Расходы на капитальные вложения (инвестиции), определяемые на основе утвержденных в установленном порядке инвестиционных программ</t>
  </si>
  <si>
    <t xml:space="preserve">Величина необходимой валовой выручки регулируемой организации без учета плановой (расчетной) прибыли от регулируемого вида деятельности и величины налога на прибыль </t>
  </si>
  <si>
    <t>Нормативный уровень прибыли ( %)</t>
  </si>
  <si>
    <t xml:space="preserve">Индекс изменения количества активов </t>
  </si>
  <si>
    <t>РАСЧЕТ НЕОБХОДИОМОЙ ВАЛОВОЙ ВЫРУЧКИ МЕТОДОМ ИНДЕКСАЦИИ</t>
  </si>
  <si>
    <t>Недополученный доход  в предыдущий период регулирования в связи со снижением (по причинам, не зависящим от регулируемой организации) объема поданой воды</t>
  </si>
  <si>
    <t>Всего затрат</t>
  </si>
  <si>
    <t>Процент отчисления на социальные нужды, в том числе средства на социальное страхование, %</t>
  </si>
  <si>
    <t>Анкета (на бланке организации)</t>
  </si>
  <si>
    <t>Данные</t>
  </si>
  <si>
    <t>Полное наименование хозяйствующего субъекта.</t>
  </si>
  <si>
    <t>Местонахождение юридического лица, почтовый адрес</t>
  </si>
  <si>
    <t>Телефон, факс</t>
  </si>
  <si>
    <t>Электронная почта, адрес в сети Интернет.</t>
  </si>
  <si>
    <t>Фамилия, имя, отчество руководителя</t>
  </si>
  <si>
    <t>Рабочий телефон руководителя, факс.</t>
  </si>
  <si>
    <t>Банковские реквизиты</t>
  </si>
  <si>
    <t>Идентификационный номер налогоплательщика (ИНН)</t>
  </si>
  <si>
    <t>Код причины постановки на учет (КПП)</t>
  </si>
  <si>
    <t>Код территории по ОКАТО</t>
  </si>
  <si>
    <t>Код ОКТМО</t>
  </si>
  <si>
    <t>Код ОКПО</t>
  </si>
  <si>
    <t>Код вида деятельности (ОКВЭД)</t>
  </si>
  <si>
    <t>Код отрасли по ОКОНХ</t>
  </si>
  <si>
    <t>Код министерства (ведомства), органа управления по ОКОГУ</t>
  </si>
  <si>
    <t>Код организационно-правовой формы по ОКОПФ</t>
  </si>
  <si>
    <t>Код формы собственности по ОКФС</t>
  </si>
  <si>
    <t>Сведения о структуре уставного капитала.</t>
  </si>
  <si>
    <t>Объем оказываемых работ (услуг) по регулируемому виду деятельности (в натуральных и стоимостных показателях за прошедший отчетный год или отчетный период). При одновременном осуществлении видов деятельностм в нескольких регулируемых сферах указанные данные предоставляются раздельно по каждому виду деятельности.</t>
  </si>
  <si>
    <t>Процентное соотношение выручки от реализации работ (услуг) по регулируемому виду деятельности от общей выручки от реализации работ (услуг). При одновременном осуществлении видов деятельности в нескольких регулируемых сферах деятельности указанные данные предоставляются раздельно по каждому виду деятельности.</t>
  </si>
  <si>
    <t>Количество потребителей работ (услуг) по регулируемым видам деятельности.</t>
  </si>
  <si>
    <t>Перечень осуществляемых видов деятельности хозяйствующего субъекта и наименование субъектов Российской Федерации, в которых хозяйствующий субъект осуществляет регулируемые виды деятельности.</t>
  </si>
  <si>
    <t>Номер,  дата выдачи,  срок действия лицензии  соответствующего регулируемого вида деятельности; орган, выдавший лицензию (в случае, если регулируемый вид деятельности подлежит лицензированию).</t>
  </si>
  <si>
    <t>(Ф.И.О.)</t>
  </si>
  <si>
    <t xml:space="preserve">        М.П.</t>
  </si>
  <si>
    <t>2.5.1</t>
  </si>
  <si>
    <t>2.5.2</t>
  </si>
  <si>
    <t>2.7.3</t>
  </si>
  <si>
    <t>Ремонтный (цеховой, общепроизводственный) персонал</t>
  </si>
  <si>
    <t>Расходы на оплату труда и отчисления на социальные нужды ремонтного (цехового, общепроизводственного) персонала, в том числе налоги и сборы</t>
  </si>
  <si>
    <t>РАСХОДЫ НА ОПЛАТУ ТРУДА В РАЗРЕЗЕ РЕГУЛИРУЕМЫХ ВИДОВ ДЕЯТЕЛЬНОСТИ ПО ПРЕДПРИЯТИЮ В ЦЕЛОМ</t>
  </si>
  <si>
    <t>Ремонтный персонал (цеховой, общепроизводственный)</t>
  </si>
  <si>
    <t>РАСШИФРОВКА ПРОЧИХ РЕМОНТНЫХ (ЦЕХОВЫХ, ОБЩЕПРОИЗВОДСТВЕННЫХ) РАСХОДОВ (ПО РЕГУЛИРУЕМОМУ ВИДУ ДЕЯТЕЛЬНОСТИ)</t>
  </si>
  <si>
    <t>Расходы на на приобретение (использование) вспомагательных материалов, запасных частей</t>
  </si>
  <si>
    <t>Прочие ремонтные (цеховые, общепроизводственные) расходы</t>
  </si>
  <si>
    <t>Общехозяйственные расходы по регулируемому виду деятельности (непроизводственные активы)</t>
  </si>
  <si>
    <t>Амортизация непроизводственных активов по регулируемому виду деятельности (общехозяйственные расходы)</t>
  </si>
  <si>
    <t>Налог на прибыль (для сведения)</t>
  </si>
  <si>
    <t>Другие расходы, не учитываемые при определении налоговой базы налога на прибыль (расходы, относимые на прибыль после налогообложения) в том числе:</t>
  </si>
  <si>
    <t>Прибыль, облагаемая налогом</t>
  </si>
  <si>
    <t>Избыток средств, полученный в предыдущем периоде</t>
  </si>
  <si>
    <t>Нормативный уровень прибыли, %</t>
  </si>
  <si>
    <t>Данные предприятия</t>
  </si>
  <si>
    <t xml:space="preserve">РАСШИФРОВКА ОБЩЕХОЗЯЙСТВЕННЫХ РАСХОДОВ (ПО РЕГУЛИРУЕМОМУ ВИДУ ДЕЯТЕЛЬНОСТИ) </t>
  </si>
  <si>
    <t>2,4</t>
  </si>
  <si>
    <t>Исполнитель:</t>
  </si>
  <si>
    <t>Должность, Ф.И.О., телефон</t>
  </si>
  <si>
    <t>2016-2018</t>
  </si>
  <si>
    <t>первый год</t>
  </si>
  <si>
    <t>второй год</t>
  </si>
  <si>
    <t>третий год</t>
  </si>
  <si>
    <t>Определение объема отпуска воды абонентам на период регулирования по предложению Предприятия</t>
  </si>
  <si>
    <t>Предыдущие периоды регулирования</t>
  </si>
  <si>
    <t>Определение объема отпуска воды абонентам на период регулирования по предложению Госкомитета</t>
  </si>
  <si>
    <t>Добавить объект</t>
  </si>
  <si>
    <t>в том числе НН</t>
  </si>
  <si>
    <t>Таблица 6</t>
  </si>
  <si>
    <t>Таблица 5</t>
  </si>
  <si>
    <t xml:space="preserve">       Руководитель организации                                                                   </t>
  </si>
  <si>
    <t>кг</t>
  </si>
  <si>
    <t>литр</t>
  </si>
  <si>
    <t>шт.</t>
  </si>
  <si>
    <t>кВт в мес.</t>
  </si>
  <si>
    <t>руб./кВт</t>
  </si>
  <si>
    <t>Председателю Государственного комитета 
Псковской области 
по тарифам и энергетике</t>
  </si>
  <si>
    <t>_________</t>
  </si>
  <si>
    <t>№</t>
  </si>
  <si>
    <t>дата</t>
  </si>
  <si>
    <t>Е.В. Пилипенко</t>
  </si>
  <si>
    <t>ЗАЯВЛЕНИЕ</t>
  </si>
  <si>
    <t>на установление тарифа</t>
  </si>
  <si>
    <t>(реквизиты организации: № ГРЮЛ с датой регитрации и наименованием органа регистрации; ИНН, КПП)</t>
  </si>
  <si>
    <t>(должность , фамилия, имя, отчество руководителя )</t>
  </si>
  <si>
    <t xml:space="preserve">     На основании п.14 «Правила регулирования тарифов в сфере водоснабжения и водоотведения», утвержденных Постановлением Правительства РФ от 13.05.2013 г. № 406 «О государственном регулировании тарифов в сфере водоснабжения и водоотведения»</t>
  </si>
  <si>
    <t>ПРОШУ</t>
  </si>
  <si>
    <t xml:space="preserve">установить тариф на </t>
  </si>
  <si>
    <t>(вид услуги)</t>
  </si>
  <si>
    <t>с применением метода</t>
  </si>
  <si>
    <t>метод регулирования тарифов, который регулируемая организация считает необходимым применить при регулировании тарифов на ее товары (работы, услуги)</t>
  </si>
  <si>
    <t xml:space="preserve">                                                                                                                            (без НДС, НДС не облагается)</t>
  </si>
  <si>
    <t xml:space="preserve">(без НДС, НДС не облагается)    </t>
  </si>
  <si>
    <t>на основании расчета и прилагаемых обосновывающих материалов.</t>
  </si>
  <si>
    <t>Руководитель организации</t>
  </si>
  <si>
    <t>_______________________</t>
  </si>
  <si>
    <t>(подпись)</t>
  </si>
  <si>
    <t>(ФИО)</t>
  </si>
  <si>
    <t>М.П.</t>
  </si>
  <si>
    <t>Нормативная прибыль (п.31 Метод.указаний)</t>
  </si>
  <si>
    <t>Согласно п. 79 "Основ ценообразования" долгосрочный параметр - нормативный уровень прибыли устанавливается для организаций, которым права владения и (или) пользования централизованными системами горячего водоснабжения,холодного водоснабжения и (или) водоотведения, отдельными объектами таких систем, находящимися в государственной или муниципальной собственности, переданы по договорам аренды таких систем и (или) объектов или по концессионным соглашениям, заключенным в соответствии с законодательством Российской Федерации не ранее 1 января 2014 г.</t>
  </si>
  <si>
    <t>БАЗОВЫЙ УРОВЕНЬ ОПЕРАЦИОННЫХ РАСХОДОВ (п.44,45 Методических указаний)</t>
  </si>
  <si>
    <t>НЕПОДКОНТРОЛЬНЫЕ РАСХОДЫ ( п.49 Методических указаний):</t>
  </si>
  <si>
    <t>ОПЕРАЦИОННЫЕ РАСХОДЫ</t>
  </si>
  <si>
    <t>Арендная плата, лизинговые платежи, не связанные с арендой (лизингом) централизованных систем водоснабжения либо объектов, входящих в состав таких систем</t>
  </si>
  <si>
    <t>В обязательном порядке предоставляется калькуляция распределения затрат по видам деятельности согласно учетной политике организации!</t>
  </si>
  <si>
    <t>СБЫТОВЫЕ РАСХОДЫ ГАРАНТИРУЮЩИХ ОРГАНИЗАЦИЙ ( п.26 Методических указаний)</t>
  </si>
  <si>
    <t>Средний тарифный коэффициент</t>
  </si>
  <si>
    <t>Среднемесячная тарифная ставка</t>
  </si>
  <si>
    <t>2.8.1</t>
  </si>
  <si>
    <t>2.8.2</t>
  </si>
  <si>
    <t>2.9.1</t>
  </si>
  <si>
    <t>2.9.2</t>
  </si>
  <si>
    <t>2.9.3</t>
  </si>
  <si>
    <t>2.10</t>
  </si>
  <si>
    <t>2.11</t>
  </si>
  <si>
    <t>Изменения</t>
  </si>
  <si>
    <t>Доля потерь воды при транспортировке в объеме воды поданной в сеть</t>
  </si>
  <si>
    <t>пятый год</t>
  </si>
  <si>
    <t>2019</t>
  </si>
  <si>
    <t>Основной государственный регистрационный номер (ОГРН)</t>
  </si>
  <si>
    <t>год</t>
  </si>
  <si>
    <t>Текущий долгосрочный период регулирования</t>
  </si>
  <si>
    <t>Плановый период регулирования</t>
  </si>
  <si>
    <t>Населенный пункт, 
район в населенном пункте</t>
  </si>
  <si>
    <t>Подъем воды</t>
  </si>
  <si>
    <t>Вид источника</t>
  </si>
  <si>
    <t>дата ввода в эксплуатацию</t>
  </si>
  <si>
    <t>Объект</t>
  </si>
  <si>
    <t>Арт. Скважина</t>
  </si>
  <si>
    <t>водозабор</t>
  </si>
  <si>
    <t>насосная станция</t>
  </si>
  <si>
    <t>очистные сооружения</t>
  </si>
  <si>
    <t>водопроводная сеть</t>
  </si>
  <si>
    <t>Установленная мощность, куб.м/час</t>
  </si>
  <si>
    <t>Подключенная нагрузка, куб.м/час</t>
  </si>
  <si>
    <t>Водоподготовка</t>
  </si>
  <si>
    <t xml:space="preserve">Адрес объекта </t>
  </si>
  <si>
    <t>способ обработки воды</t>
  </si>
  <si>
    <t>реагентная обработка</t>
  </si>
  <si>
    <t>отстаивание</t>
  </si>
  <si>
    <t>фильтрование</t>
  </si>
  <si>
    <t>озонирование</t>
  </si>
  <si>
    <t>сорбция</t>
  </si>
  <si>
    <t>Износ %</t>
  </si>
  <si>
    <t>насосная станция 1 подъема</t>
  </si>
  <si>
    <t>водонапорная башня</t>
  </si>
  <si>
    <t>насосная станция ОС</t>
  </si>
  <si>
    <t>Транспортировка</t>
  </si>
  <si>
    <t>для насоснной станции</t>
  </si>
  <si>
    <t>для сети</t>
  </si>
  <si>
    <t>фактически поднято тыс.м3</t>
  </si>
  <si>
    <t>фактически отпущено в сеть тыс.м3</t>
  </si>
  <si>
    <t>фактически отпущено из сети 
тыс.м3</t>
  </si>
  <si>
    <t>Наименование объекта по данным бухгалтерского учета</t>
  </si>
  <si>
    <t>Объем воды поднятой из эксплуатируемых источников</t>
  </si>
  <si>
    <t>контрольный показатель</t>
  </si>
  <si>
    <t>производство горячей воды на собственных источниках тепловой энергии</t>
  </si>
  <si>
    <t>хозяйственно-бытовые нужды предприятия</t>
  </si>
  <si>
    <t>нерегулируемые виды деятельности</t>
  </si>
  <si>
    <t>4.1.1</t>
  </si>
  <si>
    <t>4.1.2</t>
  </si>
  <si>
    <t>4.1.3</t>
  </si>
  <si>
    <t>4.1.4</t>
  </si>
  <si>
    <t>производство тепловой энергии на собственных источниках тепловой энергии</t>
  </si>
  <si>
    <t>Базовый период</t>
  </si>
  <si>
    <t>Текущий период</t>
  </si>
  <si>
    <t>Технологический расход воды</t>
  </si>
  <si>
    <t>Всего технологический расход воды</t>
  </si>
  <si>
    <t>максимальный диаметр трубопровода мм</t>
  </si>
  <si>
    <t xml:space="preserve">Всего объем воды </t>
  </si>
  <si>
    <t>Количество и объем резервуаров питьевой воды м3</t>
  </si>
  <si>
    <t>УФ обеззараживание</t>
  </si>
  <si>
    <t>мембранное фильтр.</t>
  </si>
  <si>
    <t>кВт</t>
  </si>
  <si>
    <t>Установленная электрическая мощность оборудования</t>
  </si>
  <si>
    <t>Фактический расход электроэнергии</t>
  </si>
  <si>
    <t>Всего по предприятию:</t>
  </si>
  <si>
    <t>всего</t>
  </si>
  <si>
    <t>подъем</t>
  </si>
  <si>
    <t>очистка</t>
  </si>
  <si>
    <t>транспортировка</t>
  </si>
  <si>
    <t>Уровень напряжения</t>
  </si>
  <si>
    <t>выбрать</t>
  </si>
  <si>
    <t>календарная разбивка</t>
  </si>
  <si>
    <t>Объем воды отпускаемой в сеть</t>
  </si>
  <si>
    <t>Объем воды прошедший очистку</t>
  </si>
  <si>
    <t>тыс.кВт.ч</t>
  </si>
  <si>
    <t>кВт.ч/м3</t>
  </si>
  <si>
    <t>Удельный расход электроэнергии</t>
  </si>
  <si>
    <t>4.1.5</t>
  </si>
  <si>
    <t>на прочие регулируемые виды деятельности</t>
  </si>
  <si>
    <t>удельный расход электрической энергии, потребляемой в технологическом процессе транспортировки питьевой воды</t>
  </si>
  <si>
    <t>удельный расход электрической энергии, потребляемой в технологическом процессе подготовки питьевой воды</t>
  </si>
  <si>
    <t>Объем электроэнергии</t>
  </si>
  <si>
    <t>Ед.изм.</t>
  </si>
  <si>
    <t>Период регулирования</t>
  </si>
  <si>
    <t>Удельный расход электрической энергии</t>
  </si>
  <si>
    <t>Доля расхода воды на технологические нужды</t>
  </si>
  <si>
    <t>Фактический расход электроэнергии за базовый период</t>
  </si>
  <si>
    <t>Плановый период</t>
  </si>
  <si>
    <t xml:space="preserve">Годовая сумма амортизации </t>
  </si>
  <si>
    <t>Базовый</t>
  </si>
  <si>
    <t>Текущий</t>
  </si>
  <si>
    <t>на период</t>
  </si>
  <si>
    <t xml:space="preserve">Расходы на оплату работ и услуг, выполняемых сторонними организациями и  ндивидуальными предпринимателями, связанные с эксплуатацией централизованных систем, либо объектов в составе таких систем, всего: </t>
  </si>
  <si>
    <t>Приложить сведения о фактических амортизационных отчислениях за предыдущий отчетный период (на 01 января 2017года)</t>
  </si>
  <si>
    <t>Расчет условных метров водопроводной сети</t>
  </si>
  <si>
    <t>Условный диаметр трубопровода мм</t>
  </si>
  <si>
    <t>протяженность м.</t>
  </si>
  <si>
    <t>материальная характеристика трубопровода м2</t>
  </si>
  <si>
    <t>средний диаметр трубопровода мм</t>
  </si>
  <si>
    <t>Добавить диаметр</t>
  </si>
  <si>
    <t>Утвержденные показатели</t>
  </si>
  <si>
    <t>Плановые показатели</t>
  </si>
  <si>
    <t>Фактические показатели</t>
  </si>
  <si>
    <t>Адрес объекта</t>
  </si>
  <si>
    <t>Установленная мощность НС м3/ч</t>
  </si>
  <si>
    <t>Присоединенная нагрузка м3/ч</t>
  </si>
  <si>
    <t>Добавить НС</t>
  </si>
  <si>
    <t>скважина с самоизливом</t>
  </si>
  <si>
    <t>Мощность системы водоснабжения</t>
  </si>
  <si>
    <t>Вид объекта</t>
  </si>
  <si>
    <t>Наименование источника
(адрес)</t>
  </si>
  <si>
    <t>Контрольный показатель расхода электроэнергии</t>
  </si>
  <si>
    <t>известь хлорная</t>
  </si>
  <si>
    <t>уровень потерь воды при транспортировке</t>
  </si>
  <si>
    <t>очистные сооружения ВС</t>
  </si>
  <si>
    <t>из подземного источника подъем насосом</t>
  </si>
  <si>
    <t>из подземного источник самоизлив</t>
  </si>
  <si>
    <t>из поверхностного источника</t>
  </si>
  <si>
    <t>менее 100 мм</t>
  </si>
  <si>
    <t>100-250 мм</t>
  </si>
  <si>
    <t>251-400 мм</t>
  </si>
  <si>
    <t>401-550 мм</t>
  </si>
  <si>
    <t>551-700 мм</t>
  </si>
  <si>
    <t>более 701 мм</t>
  </si>
  <si>
    <t xml:space="preserve">( таблица заполняется если только произошли изменения по протяженности водопроводной сети или </t>
  </si>
  <si>
    <t>производственной мощности объектов водоснабжения)</t>
  </si>
  <si>
    <t>Транспортировка (сети водопроводные)</t>
  </si>
  <si>
    <t>Количество условных метров водопроводной сети, относящимся к активам, необходимым для осуществления деятельности по транспортировке воды</t>
  </si>
  <si>
    <t>у.м.</t>
  </si>
  <si>
    <r>
      <t xml:space="preserve">Доля операционнных расходов на транспортировку воды, установленная исходя из размера соответствующей доли расходов за последний отчетный год  (d </t>
    </r>
    <r>
      <rPr>
        <sz val="8"/>
        <rFont val="Tahoma"/>
        <family val="2"/>
      </rPr>
      <t>сеть)</t>
    </r>
  </si>
  <si>
    <t>Изменение количества условных метров водопроводной сети, эксплуатируемоых организацией, произошедшее в году (УМС)</t>
  </si>
  <si>
    <t>Водоснабжение (объект водоподготовки)</t>
  </si>
  <si>
    <t>Установленная производственная мощность источников водоснабжения</t>
  </si>
  <si>
    <t>м.куб/час</t>
  </si>
  <si>
    <t>Изменение операционных расходов на водоподготовку, связанное с вводом нового объекта водоподготовки (ОР)</t>
  </si>
  <si>
    <t>индекс потребительских цен (ИПЦ)</t>
  </si>
  <si>
    <t>индекс изменения количества активов (ИКА)</t>
  </si>
  <si>
    <t>5.1</t>
  </si>
  <si>
    <t>при изменении количества условных метров сети</t>
  </si>
  <si>
    <t>5.2</t>
  </si>
  <si>
    <t>при изменении мощности объектов водоснабжения</t>
  </si>
  <si>
    <t>При расчете индекса количества активов используется формула (8.1) из Методических указаний №1746-Э от 27.12.2013</t>
  </si>
  <si>
    <t>a</t>
  </si>
  <si>
    <t>Операционные расходы 2018 года</t>
  </si>
  <si>
    <t>Водоснабжение</t>
  </si>
  <si>
    <t>Расчет тарифа по предложению Госкомитета</t>
  </si>
  <si>
    <t>(без НДС)</t>
  </si>
  <si>
    <t>Расчет льготного тарифа для населения</t>
  </si>
  <si>
    <t>Субсидия</t>
  </si>
  <si>
    <t>Объем для нас.</t>
  </si>
  <si>
    <t>льг.тариф</t>
  </si>
  <si>
    <t>Тариф для населения ЭО</t>
  </si>
  <si>
    <t>объем для населения</t>
  </si>
  <si>
    <t xml:space="preserve">Фактические показатели базового периода регулирования </t>
  </si>
  <si>
    <t xml:space="preserve">Утверждённые показатели текущего периода регулирования </t>
  </si>
  <si>
    <t xml:space="preserve">Долгосрочный период регулирования </t>
  </si>
  <si>
    <t>четвёртый год</t>
  </si>
  <si>
    <t>ObjType</t>
  </si>
  <si>
    <t>SrcType</t>
  </si>
  <si>
    <t>Treatment</t>
  </si>
  <si>
    <t>Activity</t>
  </si>
  <si>
    <t>арт. скважина</t>
  </si>
  <si>
    <t>Diameter</t>
  </si>
  <si>
    <t>ObjType1</t>
  </si>
  <si>
    <t>Всего объем</t>
  </si>
  <si>
    <t>Поставщик 1</t>
  </si>
  <si>
    <t>Добавить поставщика</t>
  </si>
  <si>
    <t>Объем транспортируемой воды</t>
  </si>
  <si>
    <t>прибыль на развитие производства</t>
  </si>
  <si>
    <t>Объем воды, прошедший очистку</t>
  </si>
  <si>
    <t>Итого по системе:</t>
  </si>
  <si>
    <t>На листе 'ЭЭ факт' в шапке изменены единицы измерения</t>
  </si>
  <si>
    <t>На листе 'Уд расх.ЭЭ' исправлены формулы в ячейках E14, E15</t>
  </si>
  <si>
    <t>На листе 'Уд расх.ЭЭ' исправлены формулы в ячейках D16, F16:Q16</t>
  </si>
  <si>
    <t>На листе 'баз.уровень операц расх' исправлены формулы в ячейках E21:G21</t>
  </si>
  <si>
    <t>Муниципальное предприятие по эксплуатации систем водоснабжения и водоотведения "Водоканал" г.Великие Луки</t>
  </si>
  <si>
    <t>182113, Россия, Псковская область, г.Великие Луки, пер.Водопроводный, дом 10</t>
  </si>
  <si>
    <t>8(81153)3-64-32, факс 3-43-21</t>
  </si>
  <si>
    <t>E-mail:vodokanal-vl@yandex.ru, интернет сайт: http://www.vodokanal-vl.ru</t>
  </si>
  <si>
    <t>Шумайлов Евгений Владимирович</t>
  </si>
  <si>
    <t>р/с 40702810000000000563, к/с 30101810200000000729 в АО "Великие Луки банк" БИК 045853729</t>
  </si>
  <si>
    <t>1 0 2 6 0 0 0 8 9 9 2 7 5</t>
  </si>
  <si>
    <t>36.00.2 - распределение воды для питьевых и промышленных нужд; 37.00 - сбор и обработка сточных вод</t>
  </si>
  <si>
    <t>объекты основных средств</t>
  </si>
  <si>
    <t>Факт 2017г.: распределение воды для питьевых и промышленных нужд (36.00.2) 6664,4 тыс.куб.м. - 138652,7 тыс.руб. (питьевая вода), 15,8 тыс.куб.м. - 218,9 тыс.руб. (техническая вода); сбор и обработка сточных вод (37.00) 5669,2 тыс.куб.м. - 120442,8 тыс.руб.</t>
  </si>
  <si>
    <t>Факт 2017г.: распределение воды для питьевых и промышленных нужд (36.00.2) 48,2% (питьевая вода), 0,1% (техническая вода); сбор и обработка сточных вод (37.00) 41,9%</t>
  </si>
  <si>
    <t xml:space="preserve">Водоснабжение (питьевое) - 6775 абонентов, техническая вода - 1 абонент, водоотведение - 1614 абонентов. </t>
  </si>
  <si>
    <t>Распределение воды для питьевых и промышленных нужд (36.00.2) питьевая вода, техническая вода; сбор и обработка сточных вод (37.00) города Великие Луки</t>
  </si>
  <si>
    <t>не подлежит лицензированию</t>
  </si>
  <si>
    <t>город Великие Луки</t>
  </si>
  <si>
    <t>Очистные сооружения из поверхностного источника</t>
  </si>
  <si>
    <t>пер. Водопроводный д.10</t>
  </si>
  <si>
    <t>Удалить</t>
  </si>
  <si>
    <t>пер. Водопроводный, д.10</t>
  </si>
  <si>
    <t>СН2</t>
  </si>
  <si>
    <t>А-95</t>
  </si>
  <si>
    <t>Масла</t>
  </si>
  <si>
    <t>Д/т</t>
  </si>
  <si>
    <t>Теплоэнергия</t>
  </si>
  <si>
    <t>охрана труда</t>
  </si>
  <si>
    <t>техническую воду</t>
  </si>
  <si>
    <t>Муниципальное предприятие по эксплуатации систем водоснабжения и водоотведения</t>
  </si>
  <si>
    <t>"Водоканал" г. Великие Луки</t>
  </si>
  <si>
    <t>182113, Псковская область, г. Великие Луки, пер. Водопроводный, дом 10</t>
  </si>
  <si>
    <t>Питьевая вода</t>
  </si>
  <si>
    <t>Техническая вода</t>
  </si>
  <si>
    <t>Водоотведение</t>
  </si>
  <si>
    <t>Псковской области,  Инн 6025001060 КПП 602501001</t>
  </si>
  <si>
    <t xml:space="preserve">ОГРН 1026000899275 дата 30.09.2002 Инспекция Министерства РФ по налогам и сборам по г. Великие Луки </t>
  </si>
  <si>
    <t>(юридический и почтовый адрес, e-mail, телефон, факс)</t>
  </si>
  <si>
    <t>e-mail po-vluki@mail.ru, тел. 3-43-07, факс  3-43-21</t>
  </si>
  <si>
    <t xml:space="preserve">                                                      Директор Шумайлов Евгений Владимирович</t>
  </si>
  <si>
    <t>индексации</t>
  </si>
  <si>
    <t>Шумайлов Е.В.</t>
  </si>
  <si>
    <t xml:space="preserve"> Директор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</si>
</sst>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"/>
    <numFmt numFmtId="192" formatCode="[$-FC19]d\ mmmm\ yyyy\ &quot;г.&quot;"/>
    <numFmt numFmtId="193" formatCode="#,##0.00&quot;р.&quot;"/>
    <numFmt numFmtId="194" formatCode="#,##0.00_ ;[Red]\-#,##0.00\ "/>
    <numFmt numFmtId="195" formatCode="0.000000"/>
    <numFmt numFmtId="196" formatCode="0.00000000"/>
    <numFmt numFmtId="197" formatCode="0.0000000"/>
  </numFmts>
  <fonts count="84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12"/>
      <name val="Tahoma"/>
      <family val="2"/>
    </font>
    <font>
      <b/>
      <sz val="14"/>
      <name val="Franklin Gothic Medium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0"/>
      <name val="MS Sans Serif"/>
      <family val="2"/>
    </font>
    <font>
      <sz val="8"/>
      <name val="Helv"/>
      <family val="0"/>
    </font>
    <font>
      <b/>
      <u val="single"/>
      <sz val="8"/>
      <color indexed="12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vertAlign val="superscript"/>
      <sz val="10"/>
      <name val="Tahoma"/>
      <family val="2"/>
    </font>
    <font>
      <b/>
      <sz val="11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7"/>
      <name val="Marlett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Tahoma"/>
      <family val="2"/>
    </font>
    <font>
      <sz val="10"/>
      <color indexed="11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1"/>
      <color indexed="8"/>
      <name val="Tahoma"/>
      <family val="2"/>
    </font>
    <font>
      <u val="single"/>
      <sz val="8"/>
      <color indexed="12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8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63"/>
      </right>
      <top style="thin"/>
      <bottom style="medium"/>
    </border>
    <border>
      <left style="thin"/>
      <right style="thin"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thin">
        <color indexed="63"/>
      </right>
      <top style="medium"/>
      <bottom style="thin"/>
    </border>
    <border>
      <left style="thin"/>
      <right style="thin"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81" fontId="15" fillId="0" borderId="0" applyFont="0" applyFill="0" applyBorder="0" applyAlignment="0" applyProtection="0"/>
    <xf numFmtId="0" fontId="16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9" fontId="17" fillId="0" borderId="0">
      <alignment vertical="center" wrapText="1"/>
      <protection/>
    </xf>
    <xf numFmtId="0" fontId="6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9" fontId="5" fillId="0" borderId="0">
      <alignment horizontal="left" vertical="center" wrapText="1"/>
      <protection/>
    </xf>
    <xf numFmtId="0" fontId="9" fillId="0" borderId="6" applyBorder="0">
      <alignment horizontal="center" vertical="center" wrapText="1"/>
      <protection/>
    </xf>
    <xf numFmtId="4" fontId="10" fillId="28" borderId="7" applyBorder="0">
      <alignment horizontal="right"/>
      <protection/>
    </xf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9" fontId="1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13" fillId="0" borderId="0">
      <alignment horizontal="left" vertical="center" wrapText="1"/>
      <protection/>
    </xf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2" fillId="33" borderId="0" applyNumberFormat="0" applyBorder="0" applyAlignment="0" applyProtection="0"/>
  </cellStyleXfs>
  <cellXfs count="1184">
    <xf numFmtId="0" fontId="0" fillId="0" borderId="0" xfId="0" applyAlignment="1">
      <alignment/>
    </xf>
    <xf numFmtId="0" fontId="7" fillId="0" borderId="0" xfId="48" applyFont="1" applyAlignment="1" applyProtection="1">
      <alignment horizontal="centerContinuous" vertical="center" wrapText="1"/>
      <protection/>
    </xf>
    <xf numFmtId="0" fontId="8" fillId="0" borderId="0" xfId="72" applyFont="1" applyAlignment="1" applyProtection="1">
      <alignment horizontal="centerContinuous" vertical="top"/>
      <protection/>
    </xf>
    <xf numFmtId="0" fontId="7" fillId="0" borderId="0" xfId="48" applyFont="1" applyProtection="1">
      <alignment horizontal="center" vertical="center" wrapText="1"/>
      <protection/>
    </xf>
    <xf numFmtId="0" fontId="8" fillId="0" borderId="0" xfId="72" applyFont="1" applyProtection="1">
      <alignment/>
      <protection/>
    </xf>
    <xf numFmtId="0" fontId="9" fillId="0" borderId="12" xfId="54" applyFont="1" applyBorder="1" applyProtection="1">
      <alignment horizontal="center" vertical="center" wrapText="1"/>
      <protection/>
    </xf>
    <xf numFmtId="0" fontId="2" fillId="0" borderId="0" xfId="72" applyFont="1" applyAlignment="1" applyProtection="1">
      <alignment wrapText="1"/>
      <protection/>
    </xf>
    <xf numFmtId="0" fontId="2" fillId="28" borderId="0" xfId="72" applyFont="1" applyFill="1" applyProtection="1">
      <alignment/>
      <protection locked="0"/>
    </xf>
    <xf numFmtId="0" fontId="8" fillId="28" borderId="0" xfId="72" applyFont="1" applyFill="1" applyProtection="1">
      <alignment/>
      <protection locked="0"/>
    </xf>
    <xf numFmtId="0" fontId="2" fillId="0" borderId="0" xfId="72" applyFont="1" applyProtection="1">
      <alignment/>
      <protection/>
    </xf>
    <xf numFmtId="49" fontId="8" fillId="0" borderId="0" xfId="72" applyNumberFormat="1" applyFont="1" applyProtection="1">
      <alignment/>
      <protection/>
    </xf>
    <xf numFmtId="0" fontId="2" fillId="0" borderId="0" xfId="72" applyFont="1" applyAlignment="1" applyProtection="1">
      <alignment horizontal="center"/>
      <protection/>
    </xf>
    <xf numFmtId="0" fontId="9" fillId="0" borderId="13" xfId="54" applyFont="1" applyBorder="1" applyProtection="1">
      <alignment horizontal="center" vertical="center" wrapText="1"/>
      <protection/>
    </xf>
    <xf numFmtId="2" fontId="2" fillId="28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8" applyFont="1" applyProtection="1">
      <alignment/>
      <protection/>
    </xf>
    <xf numFmtId="49" fontId="12" fillId="0" borderId="0" xfId="71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14" xfId="54" applyFont="1" applyBorder="1" applyProtection="1">
      <alignment horizontal="center" vertical="center" wrapText="1"/>
      <protection/>
    </xf>
    <xf numFmtId="49" fontId="2" fillId="0" borderId="7" xfId="70" applyFont="1" applyBorder="1" applyAlignment="1" applyProtection="1">
      <alignment vertical="center"/>
      <protection/>
    </xf>
    <xf numFmtId="0" fontId="2" fillId="0" borderId="7" xfId="70" applyNumberFormat="1" applyFont="1" applyBorder="1" applyAlignment="1" applyProtection="1">
      <alignment vertical="center" wrapText="1"/>
      <protection/>
    </xf>
    <xf numFmtId="0" fontId="2" fillId="0" borderId="7" xfId="0" applyNumberFormat="1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15" xfId="54" applyFont="1" applyBorder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10" fillId="0" borderId="0" xfId="60" applyFont="1">
      <alignment vertical="top"/>
      <protection/>
    </xf>
    <xf numFmtId="49" fontId="10" fillId="0" borderId="0" xfId="60" applyFont="1" applyProtection="1">
      <alignment vertical="top"/>
      <protection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7" xfId="0" applyFont="1" applyFill="1" applyBorder="1" applyAlignment="1" applyProtection="1">
      <alignment vertical="center" wrapText="1"/>
      <protection/>
    </xf>
    <xf numFmtId="0" fontId="2" fillId="34" borderId="7" xfId="0" applyFont="1" applyFill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3" fillId="0" borderId="7" xfId="0" applyFont="1" applyFill="1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49" fontId="2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Border="1" applyAlignment="1">
      <alignment vertical="center" wrapText="1"/>
    </xf>
    <xf numFmtId="2" fontId="2" fillId="34" borderId="7" xfId="0" applyNumberFormat="1" applyFont="1" applyFill="1" applyBorder="1" applyAlignment="1">
      <alignment horizontal="right" vertical="center" wrapText="1"/>
    </xf>
    <xf numFmtId="2" fontId="2" fillId="34" borderId="7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10" fillId="0" borderId="0" xfId="60" applyFont="1" applyBorder="1" applyAlignment="1" applyProtection="1">
      <alignment vertical="center"/>
      <protection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0" xfId="68" applyFont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7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28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2" fontId="3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2" fontId="2" fillId="34" borderId="27" xfId="0" applyNumberFormat="1" applyFont="1" applyFill="1" applyBorder="1" applyAlignment="1">
      <alignment horizontal="right" vertical="center"/>
    </xf>
    <xf numFmtId="2" fontId="2" fillId="34" borderId="28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34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2" fontId="2" fillId="34" borderId="25" xfId="0" applyNumberFormat="1" applyFont="1" applyFill="1" applyBorder="1" applyAlignment="1" applyProtection="1">
      <alignment horizontal="center" vertical="center" wrapText="1"/>
      <protection/>
    </xf>
    <xf numFmtId="2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20" xfId="0" applyNumberFormat="1" applyFont="1" applyFill="1" applyBorder="1" applyAlignment="1" applyProtection="1">
      <alignment horizontal="center" vertical="center" wrapText="1"/>
      <protection/>
    </xf>
    <xf numFmtId="2" fontId="2" fillId="34" borderId="15" xfId="0" applyNumberFormat="1" applyFont="1" applyFill="1" applyBorder="1" applyAlignment="1" applyProtection="1">
      <alignment horizontal="center" vertical="center" wrapText="1"/>
      <protection/>
    </xf>
    <xf numFmtId="2" fontId="2" fillId="34" borderId="23" xfId="0" applyNumberFormat="1" applyFont="1" applyFill="1" applyBorder="1" applyAlignment="1" applyProtection="1">
      <alignment horizontal="center" vertical="center" wrapText="1"/>
      <protection/>
    </xf>
    <xf numFmtId="2" fontId="2" fillId="34" borderId="24" xfId="0" applyNumberFormat="1" applyFont="1" applyFill="1" applyBorder="1" applyAlignment="1" applyProtection="1">
      <alignment horizontal="center" vertical="center" wrapText="1"/>
      <protection/>
    </xf>
    <xf numFmtId="2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2" fontId="2" fillId="34" borderId="14" xfId="0" applyNumberFormat="1" applyFont="1" applyFill="1" applyBorder="1" applyAlignment="1" applyProtection="1">
      <alignment vertical="center" wrapText="1"/>
      <protection/>
    </xf>
    <xf numFmtId="2" fontId="2" fillId="34" borderId="15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2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34" borderId="31" xfId="0" applyNumberFormat="1" applyFont="1" applyFill="1" applyBorder="1" applyAlignment="1">
      <alignment horizontal="right" vertical="center"/>
    </xf>
    <xf numFmtId="2" fontId="2" fillId="34" borderId="22" xfId="0" applyNumberFormat="1" applyFont="1" applyFill="1" applyBorder="1" applyAlignment="1">
      <alignment horizontal="right" vertical="center"/>
    </xf>
    <xf numFmtId="2" fontId="2" fillId="34" borderId="33" xfId="0" applyNumberFormat="1" applyFont="1" applyFill="1" applyBorder="1" applyAlignment="1">
      <alignment horizontal="right" vertical="center"/>
    </xf>
    <xf numFmtId="2" fontId="2" fillId="34" borderId="3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left" vertical="center" wrapText="1"/>
      <protection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  <protection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/>
    </xf>
    <xf numFmtId="0" fontId="34" fillId="35" borderId="0" xfId="0" applyFont="1" applyFill="1" applyAlignment="1">
      <alignment vertical="center"/>
    </xf>
    <xf numFmtId="0" fontId="2" fillId="28" borderId="7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4" xfId="0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right" vertical="center"/>
    </xf>
    <xf numFmtId="49" fontId="0" fillId="0" borderId="0" xfId="61" applyNumberFormat="1" applyFont="1" applyBorder="1" applyAlignment="1" applyProtection="1">
      <alignment vertical="center"/>
      <protection/>
    </xf>
    <xf numFmtId="49" fontId="3" fillId="0" borderId="7" xfId="0" applyNumberFormat="1" applyFont="1" applyFill="1" applyBorder="1" applyAlignment="1" applyProtection="1">
      <alignment vertical="center" wrapText="1"/>
      <protection/>
    </xf>
    <xf numFmtId="0" fontId="2" fillId="28" borderId="14" xfId="0" applyFont="1" applyFill="1" applyBorder="1" applyAlignment="1" applyProtection="1">
      <alignment vertical="center" wrapText="1"/>
      <protection locked="0"/>
    </xf>
    <xf numFmtId="0" fontId="2" fillId="28" borderId="7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>
      <alignment vertical="center" wrapText="1"/>
    </xf>
    <xf numFmtId="0" fontId="2" fillId="35" borderId="7" xfId="0" applyFont="1" applyFill="1" applyBorder="1" applyAlignment="1">
      <alignment vertical="center" wrapText="1"/>
    </xf>
    <xf numFmtId="49" fontId="2" fillId="28" borderId="7" xfId="0" applyNumberFormat="1" applyFont="1" applyFill="1" applyBorder="1" applyAlignment="1" applyProtection="1">
      <alignment vertical="center" wrapText="1"/>
      <protection locked="0"/>
    </xf>
    <xf numFmtId="0" fontId="2" fillId="28" borderId="7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2" fillId="28" borderId="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28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7" xfId="0" applyNumberFormat="1" applyFont="1" applyFill="1" applyBorder="1" applyAlignment="1" applyProtection="1">
      <alignment vertical="center" wrapText="1"/>
      <protection/>
    </xf>
    <xf numFmtId="2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54" applyFont="1" applyBorder="1" applyProtection="1">
      <alignment horizontal="center" vertical="center" wrapText="1"/>
      <protection/>
    </xf>
    <xf numFmtId="4" fontId="2" fillId="28" borderId="20" xfId="55" applyFont="1" applyFill="1" applyBorder="1" applyAlignment="1" applyProtection="1">
      <alignment horizontal="left" wrapText="1"/>
      <protection locked="0"/>
    </xf>
    <xf numFmtId="0" fontId="2" fillId="28" borderId="20" xfId="55" applyNumberFormat="1" applyFont="1" applyFill="1" applyBorder="1" applyAlignment="1" applyProtection="1">
      <alignment horizontal="left" wrapText="1"/>
      <protection locked="0"/>
    </xf>
    <xf numFmtId="4" fontId="2" fillId="28" borderId="23" xfId="55" applyFont="1" applyFill="1" applyBorder="1" applyAlignment="1" applyProtection="1">
      <alignment horizontal="left" wrapText="1"/>
      <protection locked="0"/>
    </xf>
    <xf numFmtId="4" fontId="2" fillId="0" borderId="20" xfId="55" applyFont="1" applyFill="1" applyBorder="1" applyAlignment="1" applyProtection="1">
      <alignment horizontal="center" wrapText="1"/>
      <protection/>
    </xf>
    <xf numFmtId="0" fontId="2" fillId="36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36" xfId="0" applyNumberFormat="1" applyFont="1" applyFill="1" applyBorder="1" applyAlignment="1" applyProtection="1">
      <alignment vertical="center"/>
      <protection/>
    </xf>
    <xf numFmtId="49" fontId="4" fillId="37" borderId="37" xfId="0" applyNumberFormat="1" applyFont="1" applyFill="1" applyBorder="1" applyAlignment="1" applyProtection="1">
      <alignment vertical="center"/>
      <protection/>
    </xf>
    <xf numFmtId="188" fontId="4" fillId="37" borderId="38" xfId="0" applyNumberFormat="1" applyFont="1" applyFill="1" applyBorder="1" applyAlignment="1" applyProtection="1">
      <alignment vertical="center"/>
      <protection/>
    </xf>
    <xf numFmtId="188" fontId="4" fillId="37" borderId="37" xfId="0" applyNumberFormat="1" applyFont="1" applyFill="1" applyBorder="1" applyAlignment="1" applyProtection="1">
      <alignment vertical="center"/>
      <protection/>
    </xf>
    <xf numFmtId="49" fontId="4" fillId="37" borderId="39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37" borderId="40" xfId="0" applyNumberFormat="1" applyFont="1" applyFill="1" applyBorder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/>
      <protection/>
    </xf>
    <xf numFmtId="49" fontId="4" fillId="37" borderId="38" xfId="0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9" fillId="0" borderId="0" xfId="72" applyFont="1" applyAlignment="1" applyProtection="1">
      <alignment horizontal="centerContinuous" vertical="top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7" xfId="0" applyFont="1" applyBorder="1" applyAlignment="1">
      <alignment horizontal="left" vertical="center" wrapText="1"/>
    </xf>
    <xf numFmtId="2" fontId="2" fillId="28" borderId="7" xfId="0" applyNumberFormat="1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60" applyNumberFormat="1" applyFont="1" applyAlignment="1">
      <alignment/>
      <protection/>
    </xf>
    <xf numFmtId="0" fontId="24" fillId="0" borderId="0" xfId="60" applyNumberFormat="1" applyFont="1" applyAlignment="1">
      <alignment horizontal="center" vertical="top"/>
      <protection/>
    </xf>
    <xf numFmtId="0" fontId="24" fillId="0" borderId="0" xfId="60" applyNumberFormat="1" applyFont="1" applyAlignment="1">
      <alignment horizontal="center"/>
      <protection/>
    </xf>
    <xf numFmtId="0" fontId="22" fillId="0" borderId="0" xfId="60" applyNumberFormat="1" applyFont="1" applyAlignment="1">
      <alignment horizontal="center" wrapText="1"/>
      <protection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34" borderId="7" xfId="0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Continuous" vertical="center"/>
      <protection/>
    </xf>
    <xf numFmtId="49" fontId="3" fillId="28" borderId="7" xfId="0" applyNumberFormat="1" applyFont="1" applyFill="1" applyBorder="1" applyAlignment="1" applyProtection="1">
      <alignment vertical="center" wrapText="1"/>
      <protection locked="0"/>
    </xf>
    <xf numFmtId="0" fontId="3" fillId="28" borderId="7" xfId="0" applyFont="1" applyFill="1" applyBorder="1" applyAlignment="1" applyProtection="1">
      <alignment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28" borderId="24" xfId="0" applyNumberFormat="1" applyFont="1" applyFill="1" applyBorder="1" applyAlignment="1" applyProtection="1">
      <alignment vertical="center" wrapText="1"/>
      <protection locked="0"/>
    </xf>
    <xf numFmtId="188" fontId="2" fillId="34" borderId="20" xfId="0" applyNumberFormat="1" applyFont="1" applyFill="1" applyBorder="1" applyAlignment="1" applyProtection="1">
      <alignment horizontal="center" vertical="center"/>
      <protection/>
    </xf>
    <xf numFmtId="0" fontId="13" fillId="0" borderId="43" xfId="61" applyFont="1" applyFill="1" applyBorder="1" applyAlignment="1" applyProtection="1">
      <alignment vertical="center" wrapText="1"/>
      <protection/>
    </xf>
    <xf numFmtId="0" fontId="2" fillId="28" borderId="24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2" fontId="2" fillId="28" borderId="15" xfId="0" applyNumberFormat="1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right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 applyProtection="1">
      <alignment horizontal="right" vertical="center" inden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/>
    </xf>
    <xf numFmtId="188" fontId="2" fillId="28" borderId="20" xfId="0" applyNumberFormat="1" applyFont="1" applyFill="1" applyBorder="1" applyAlignment="1" applyProtection="1">
      <alignment horizontal="center" vertical="center"/>
      <protection locked="0"/>
    </xf>
    <xf numFmtId="188" fontId="2" fillId="28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188" fontId="2" fillId="34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8" fontId="2" fillId="28" borderId="14" xfId="0" applyNumberFormat="1" applyFont="1" applyFill="1" applyBorder="1" applyAlignment="1" applyProtection="1">
      <alignment vertical="center"/>
      <protection locked="0"/>
    </xf>
    <xf numFmtId="188" fontId="2" fillId="28" borderId="20" xfId="0" applyNumberFormat="1" applyFont="1" applyFill="1" applyBorder="1" applyAlignment="1" applyProtection="1">
      <alignment vertical="center"/>
      <protection locked="0"/>
    </xf>
    <xf numFmtId="188" fontId="2" fillId="0" borderId="14" xfId="0" applyNumberFormat="1" applyFont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2" fontId="2" fillId="28" borderId="14" xfId="0" applyNumberFormat="1" applyFont="1" applyFill="1" applyBorder="1" applyAlignment="1" applyProtection="1">
      <alignment vertical="center"/>
      <protection locked="0"/>
    </xf>
    <xf numFmtId="2" fontId="2" fillId="28" borderId="20" xfId="0" applyNumberFormat="1" applyFont="1" applyFill="1" applyBorder="1" applyAlignment="1" applyProtection="1">
      <alignment vertical="center"/>
      <protection locked="0"/>
    </xf>
    <xf numFmtId="2" fontId="2" fillId="34" borderId="14" xfId="0" applyNumberFormat="1" applyFont="1" applyFill="1" applyBorder="1" applyAlignment="1">
      <alignment vertical="center"/>
    </xf>
    <xf numFmtId="2" fontId="2" fillId="34" borderId="20" xfId="0" applyNumberFormat="1" applyFont="1" applyFill="1" applyBorder="1" applyAlignment="1">
      <alignment vertical="center"/>
    </xf>
    <xf numFmtId="2" fontId="2" fillId="34" borderId="14" xfId="0" applyNumberFormat="1" applyFont="1" applyFill="1" applyBorder="1" applyAlignment="1">
      <alignment vertical="center" wrapText="1"/>
    </xf>
    <xf numFmtId="2" fontId="2" fillId="34" borderId="20" xfId="0" applyNumberFormat="1" applyFont="1" applyFill="1" applyBorder="1" applyAlignment="1">
      <alignment vertical="center" wrapText="1"/>
    </xf>
    <xf numFmtId="2" fontId="2" fillId="34" borderId="15" xfId="0" applyNumberFormat="1" applyFont="1" applyFill="1" applyBorder="1" applyAlignment="1">
      <alignment vertical="center"/>
    </xf>
    <xf numFmtId="2" fontId="2" fillId="34" borderId="23" xfId="0" applyNumberFormat="1" applyFont="1" applyFill="1" applyBorder="1" applyAlignment="1">
      <alignment vertical="center"/>
    </xf>
    <xf numFmtId="2" fontId="2" fillId="34" borderId="24" xfId="0" applyNumberFormat="1" applyFont="1" applyFill="1" applyBorder="1" applyAlignment="1" applyProtection="1">
      <alignment vertical="center" wrapText="1"/>
      <protection/>
    </xf>
    <xf numFmtId="2" fontId="2" fillId="34" borderId="29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vertical="center"/>
      <protection/>
    </xf>
    <xf numFmtId="2" fontId="2" fillId="34" borderId="17" xfId="0" applyNumberFormat="1" applyFont="1" applyFill="1" applyBorder="1" applyAlignment="1" applyProtection="1">
      <alignment horizontal="center" vertical="center" wrapText="1"/>
      <protection/>
    </xf>
    <xf numFmtId="2" fontId="2" fillId="34" borderId="22" xfId="0" applyNumberFormat="1" applyFont="1" applyFill="1" applyBorder="1" applyAlignment="1" applyProtection="1">
      <alignment horizontal="center" vertical="center" wrapText="1"/>
      <protection/>
    </xf>
    <xf numFmtId="2" fontId="2" fillId="34" borderId="55" xfId="0" applyNumberFormat="1" applyFont="1" applyFill="1" applyBorder="1" applyAlignment="1" applyProtection="1">
      <alignment horizontal="center" vertical="center" wrapText="1"/>
      <protection/>
    </xf>
    <xf numFmtId="2" fontId="2" fillId="34" borderId="32" xfId="0" applyNumberFormat="1" applyFont="1" applyFill="1" applyBorder="1" applyAlignment="1" applyProtection="1">
      <alignment horizontal="center" vertical="center" wrapText="1"/>
      <protection/>
    </xf>
    <xf numFmtId="2" fontId="2" fillId="34" borderId="17" xfId="0" applyNumberFormat="1" applyFont="1" applyFill="1" applyBorder="1" applyAlignment="1" applyProtection="1">
      <alignment vertical="center" wrapText="1"/>
      <protection/>
    </xf>
    <xf numFmtId="2" fontId="2" fillId="34" borderId="32" xfId="0" applyNumberFormat="1" applyFont="1" applyFill="1" applyBorder="1" applyAlignment="1" applyProtection="1">
      <alignment vertical="center" wrapText="1"/>
      <protection/>
    </xf>
    <xf numFmtId="2" fontId="2" fillId="34" borderId="22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17" fillId="0" borderId="0" xfId="45" applyFont="1" applyBorder="1" applyAlignment="1" applyProtection="1">
      <alignment horizontal="left" vertical="center"/>
      <protection/>
    </xf>
    <xf numFmtId="0" fontId="2" fillId="0" borderId="0" xfId="61" applyFont="1" applyAlignment="1" applyProtection="1">
      <alignment vertical="center"/>
      <protection/>
    </xf>
    <xf numFmtId="0" fontId="10" fillId="0" borderId="56" xfId="61" applyFont="1" applyBorder="1" applyAlignment="1" applyProtection="1">
      <alignment horizontal="center" vertical="center" wrapText="1"/>
      <protection/>
    </xf>
    <xf numFmtId="0" fontId="10" fillId="0" borderId="27" xfId="61" applyFont="1" applyBorder="1" applyAlignment="1" applyProtection="1">
      <alignment horizontal="center" vertical="center"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0" fontId="10" fillId="0" borderId="7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center" vertical="center" wrapText="1"/>
      <protection/>
    </xf>
    <xf numFmtId="0" fontId="2" fillId="36" borderId="0" xfId="61" applyFont="1" applyFill="1" applyBorder="1" applyAlignment="1" applyProtection="1">
      <alignment vertical="center"/>
      <protection locked="0"/>
    </xf>
    <xf numFmtId="2" fontId="10" fillId="28" borderId="44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61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6" fillId="36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24" xfId="0" applyNumberFormat="1" applyFont="1" applyFill="1" applyBorder="1" applyAlignment="1">
      <alignment vertical="center" wrapText="1"/>
    </xf>
    <xf numFmtId="0" fontId="2" fillId="34" borderId="33" xfId="0" applyFont="1" applyFill="1" applyBorder="1" applyAlignment="1" applyProtection="1">
      <alignment vertical="center" wrapText="1"/>
      <protection/>
    </xf>
    <xf numFmtId="2" fontId="2" fillId="34" borderId="14" xfId="0" applyNumberFormat="1" applyFont="1" applyFill="1" applyBorder="1" applyAlignment="1">
      <alignment horizontal="right" vertical="center" wrapText="1"/>
    </xf>
    <xf numFmtId="2" fontId="2" fillId="34" borderId="20" xfId="0" applyNumberFormat="1" applyFont="1" applyFill="1" applyBorder="1" applyAlignment="1">
      <alignment horizontal="right" vertical="center" wrapText="1"/>
    </xf>
    <xf numFmtId="0" fontId="18" fillId="0" borderId="7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 wrapText="1"/>
      <protection/>
    </xf>
    <xf numFmtId="0" fontId="2" fillId="0" borderId="58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 applyProtection="1">
      <alignment vertical="center" wrapText="1"/>
      <protection locked="0"/>
    </xf>
    <xf numFmtId="0" fontId="3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36" borderId="23" xfId="0" applyNumberFormat="1" applyFont="1" applyFill="1" applyBorder="1" applyAlignment="1" applyProtection="1">
      <alignment horizontal="center" vertical="center" wrapText="1"/>
      <protection locked="0"/>
    </xf>
    <xf numFmtId="2" fontId="2" fillId="28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/>
    </xf>
    <xf numFmtId="2" fontId="2" fillId="28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/>
    </xf>
    <xf numFmtId="2" fontId="2" fillId="34" borderId="21" xfId="0" applyNumberFormat="1" applyFont="1" applyFill="1" applyBorder="1" applyAlignment="1" applyProtection="1">
      <alignment horizontal="center" vertical="center"/>
      <protection/>
    </xf>
    <xf numFmtId="2" fontId="2" fillId="28" borderId="22" xfId="0" applyNumberFormat="1" applyFont="1" applyFill="1" applyBorder="1" applyAlignment="1" applyProtection="1">
      <alignment horizontal="center" vertical="center"/>
      <protection locked="0"/>
    </xf>
    <xf numFmtId="2" fontId="2" fillId="34" borderId="60" xfId="0" applyNumberFormat="1" applyFont="1" applyFill="1" applyBorder="1" applyAlignment="1" applyProtection="1">
      <alignment horizontal="center" vertical="center"/>
      <protection/>
    </xf>
    <xf numFmtId="2" fontId="2" fillId="28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59" xfId="0" applyFont="1" applyBorder="1" applyAlignment="1" applyProtection="1">
      <alignment horizontal="center" vertical="center"/>
      <protection/>
    </xf>
    <xf numFmtId="1" fontId="0" fillId="0" borderId="35" xfId="0" applyNumberFormat="1" applyFont="1" applyFill="1" applyBorder="1" applyAlignment="1" applyProtection="1">
      <alignment horizontal="left" vertical="center" indent="1"/>
      <protection/>
    </xf>
    <xf numFmtId="1" fontId="0" fillId="0" borderId="45" xfId="0" applyNumberFormat="1" applyFont="1" applyFill="1" applyBorder="1" applyAlignment="1" applyProtection="1">
      <alignment horizontal="left" vertical="center" indent="1"/>
      <protection/>
    </xf>
    <xf numFmtId="0" fontId="0" fillId="0" borderId="35" xfId="0" applyNumberFormat="1" applyFill="1" applyBorder="1" applyAlignment="1" applyProtection="1">
      <alignment horizontal="left" vertical="center" indent="1"/>
      <protection/>
    </xf>
    <xf numFmtId="1" fontId="0" fillId="28" borderId="20" xfId="0" applyNumberFormat="1" applyFill="1" applyBorder="1" applyAlignment="1" applyProtection="1">
      <alignment horizontal="left" vertical="center" indent="1"/>
      <protection locked="0"/>
    </xf>
    <xf numFmtId="1" fontId="0" fillId="0" borderId="20" xfId="0" applyNumberFormat="1" applyFill="1" applyBorder="1" applyAlignment="1" applyProtection="1">
      <alignment horizontal="left" vertical="center" indent="1"/>
      <protection/>
    </xf>
    <xf numFmtId="1" fontId="0" fillId="0" borderId="23" xfId="0" applyNumberFormat="1" applyFill="1" applyBorder="1" applyAlignment="1" applyProtection="1">
      <alignment horizontal="left" vertical="center" indent="1"/>
      <protection/>
    </xf>
    <xf numFmtId="0" fontId="2" fillId="28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6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2" fillId="0" borderId="0" xfId="6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Protection="1">
      <alignment horizontal="center" vertical="center" wrapText="1"/>
      <protection/>
    </xf>
    <xf numFmtId="0" fontId="2" fillId="0" borderId="7" xfId="70" applyNumberFormat="1" applyFont="1" applyFill="1" applyBorder="1" applyAlignment="1" applyProtection="1">
      <alignment vertical="center" wrapText="1"/>
      <protection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2" fontId="2" fillId="28" borderId="17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1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14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36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8" borderId="22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62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0" applyNumberFormat="1" applyFont="1" applyFill="1" applyBorder="1" applyAlignment="1" applyProtection="1">
      <alignment horizontal="center" wrapText="1"/>
      <protection locked="0"/>
    </xf>
    <xf numFmtId="2" fontId="2" fillId="34" borderId="59" xfId="0" applyNumberFormat="1" applyFont="1" applyFill="1" applyBorder="1" applyAlignment="1" applyProtection="1">
      <alignment horizontal="center" vertical="center"/>
      <protection/>
    </xf>
    <xf numFmtId="0" fontId="27" fillId="0" borderId="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Fill="1" applyBorder="1" applyAlignment="1" applyProtection="1">
      <alignment vertical="center" wrapText="1"/>
      <protection/>
    </xf>
    <xf numFmtId="0" fontId="3" fillId="0" borderId="64" xfId="61" applyNumberFormat="1" applyFont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vertical="center"/>
      <protection/>
    </xf>
    <xf numFmtId="0" fontId="3" fillId="0" borderId="64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88" fontId="2" fillId="34" borderId="17" xfId="0" applyNumberFormat="1" applyFont="1" applyFill="1" applyBorder="1" applyAlignment="1" applyProtection="1">
      <alignment horizontal="right" vertical="center" indent="1"/>
      <protection/>
    </xf>
    <xf numFmtId="188" fontId="2" fillId="34" borderId="21" xfId="0" applyNumberFormat="1" applyFont="1" applyFill="1" applyBorder="1" applyAlignment="1" applyProtection="1">
      <alignment horizontal="right" vertical="center" indent="1"/>
      <protection/>
    </xf>
    <xf numFmtId="188" fontId="2" fillId="34" borderId="22" xfId="0" applyNumberFormat="1" applyFont="1" applyFill="1" applyBorder="1" applyAlignment="1" applyProtection="1">
      <alignment horizontal="right" vertical="center" indent="1"/>
      <protection/>
    </xf>
    <xf numFmtId="0" fontId="2" fillId="0" borderId="25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 indent="1"/>
    </xf>
    <xf numFmtId="189" fontId="2" fillId="34" borderId="14" xfId="0" applyNumberFormat="1" applyFont="1" applyFill="1" applyBorder="1" applyAlignment="1">
      <alignment horizontal="right" vertical="center" indent="1"/>
    </xf>
    <xf numFmtId="189" fontId="2" fillId="34" borderId="7" xfId="0" applyNumberFormat="1" applyFont="1" applyFill="1" applyBorder="1" applyAlignment="1">
      <alignment horizontal="right" vertical="center" indent="1"/>
    </xf>
    <xf numFmtId="189" fontId="2" fillId="34" borderId="20" xfId="0" applyNumberFormat="1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right" vertical="center" indent="1"/>
    </xf>
    <xf numFmtId="189" fontId="2" fillId="34" borderId="15" xfId="0" applyNumberFormat="1" applyFont="1" applyFill="1" applyBorder="1" applyAlignment="1" applyProtection="1">
      <alignment horizontal="right" vertical="center" indent="1"/>
      <protection/>
    </xf>
    <xf numFmtId="189" fontId="2" fillId="34" borderId="16" xfId="0" applyNumberFormat="1" applyFont="1" applyFill="1" applyBorder="1" applyAlignment="1" applyProtection="1">
      <alignment horizontal="right" vertical="center" indent="1"/>
      <protection/>
    </xf>
    <xf numFmtId="189" fontId="2" fillId="34" borderId="23" xfId="0" applyNumberFormat="1" applyFont="1" applyFill="1" applyBorder="1" applyAlignment="1" applyProtection="1">
      <alignment horizontal="right" vertical="center" inden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 applyProtection="1">
      <alignment horizontal="center" vertical="center"/>
      <protection/>
    </xf>
    <xf numFmtId="188" fontId="2" fillId="34" borderId="35" xfId="0" applyNumberFormat="1" applyFont="1" applyFill="1" applyBorder="1" applyAlignment="1" applyProtection="1">
      <alignment horizontal="center" vertical="center"/>
      <protection/>
    </xf>
    <xf numFmtId="188" fontId="2" fillId="34" borderId="55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vertical="center" wrapText="1"/>
    </xf>
    <xf numFmtId="188" fontId="2" fillId="28" borderId="14" xfId="0" applyNumberFormat="1" applyFont="1" applyFill="1" applyBorder="1" applyAlignment="1" applyProtection="1">
      <alignment horizontal="right" vertical="center" indent="1"/>
      <protection locked="0"/>
    </xf>
    <xf numFmtId="188" fontId="2" fillId="28" borderId="20" xfId="0" applyNumberFormat="1" applyFont="1" applyFill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vertical="center"/>
    </xf>
    <xf numFmtId="49" fontId="31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" fillId="34" borderId="20" xfId="0" applyNumberFormat="1" applyFont="1" applyFill="1" applyBorder="1" applyAlignment="1" applyProtection="1">
      <alignment horizontal="right" vertical="center"/>
      <protection/>
    </xf>
    <xf numFmtId="2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7" xfId="0" applyFont="1" applyBorder="1" applyAlignment="1">
      <alignment/>
    </xf>
    <xf numFmtId="0" fontId="32" fillId="0" borderId="7" xfId="0" applyFont="1" applyFill="1" applyBorder="1" applyAlignment="1" applyProtection="1">
      <alignment horizontal="right" vertical="center" wrapText="1"/>
      <protection/>
    </xf>
    <xf numFmtId="190" fontId="2" fillId="36" borderId="7" xfId="0" applyNumberFormat="1" applyFont="1" applyFill="1" applyBorder="1" applyAlignment="1" applyProtection="1">
      <alignment horizontal="center" vertical="center"/>
      <protection locked="0"/>
    </xf>
    <xf numFmtId="0" fontId="2" fillId="34" borderId="7" xfId="0" applyFont="1" applyFill="1" applyBorder="1" applyAlignment="1" applyProtection="1">
      <alignment horizontal="right" vertical="center" wrapText="1" indent="1"/>
      <protection/>
    </xf>
    <xf numFmtId="0" fontId="2" fillId="28" borderId="7" xfId="0" applyFont="1" applyFill="1" applyBorder="1" applyAlignment="1" applyProtection="1">
      <alignment horizontal="right" vertical="center" wrapText="1" indent="1"/>
      <protection locked="0"/>
    </xf>
    <xf numFmtId="188" fontId="2" fillId="34" borderId="20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34" borderId="68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2" fillId="28" borderId="14" xfId="0" applyFont="1" applyFill="1" applyBorder="1" applyAlignment="1" applyProtection="1">
      <alignment horizontal="right" vertical="center" wrapText="1" indent="1"/>
      <protection locked="0"/>
    </xf>
    <xf numFmtId="0" fontId="2" fillId="28" borderId="20" xfId="0" applyFont="1" applyFill="1" applyBorder="1" applyAlignment="1" applyProtection="1">
      <alignment horizontal="right" vertical="center" wrapText="1" indent="1"/>
      <protection locked="0"/>
    </xf>
    <xf numFmtId="0" fontId="2" fillId="35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vertical="center" wrapText="1"/>
    </xf>
    <xf numFmtId="49" fontId="2" fillId="34" borderId="1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17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2" fontId="2" fillId="28" borderId="25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4" xfId="0" applyNumberFormat="1" applyFont="1" applyFill="1" applyBorder="1" applyAlignment="1" applyProtection="1">
      <alignment horizontal="right" vertical="center" wrapText="1" indent="1"/>
      <protection locked="0"/>
    </xf>
    <xf numFmtId="2" fontId="2" fillId="34" borderId="14" xfId="0" applyNumberFormat="1" applyFont="1" applyFill="1" applyBorder="1" applyAlignment="1">
      <alignment horizontal="right" vertical="center" wrapText="1" indent="1"/>
    </xf>
    <xf numFmtId="2" fontId="2" fillId="34" borderId="20" xfId="0" applyNumberFormat="1" applyFont="1" applyFill="1" applyBorder="1" applyAlignment="1">
      <alignment horizontal="right" vertical="center" wrapText="1" indent="1"/>
    </xf>
    <xf numFmtId="2" fontId="2" fillId="34" borderId="25" xfId="0" applyNumberFormat="1" applyFont="1" applyFill="1" applyBorder="1" applyAlignment="1">
      <alignment horizontal="right" vertical="center" wrapText="1" indent="1"/>
    </xf>
    <xf numFmtId="2" fontId="2" fillId="34" borderId="24" xfId="0" applyNumberFormat="1" applyFont="1" applyFill="1" applyBorder="1" applyAlignment="1">
      <alignment horizontal="right" vertical="center" wrapText="1" indent="1"/>
    </xf>
    <xf numFmtId="2" fontId="2" fillId="0" borderId="14" xfId="0" applyNumberFormat="1" applyFont="1" applyFill="1" applyBorder="1" applyAlignment="1">
      <alignment horizontal="right" vertical="center" wrapText="1" indent="1"/>
    </xf>
    <xf numFmtId="2" fontId="2" fillId="0" borderId="20" xfId="0" applyNumberFormat="1" applyFont="1" applyFill="1" applyBorder="1" applyAlignment="1">
      <alignment horizontal="right" vertical="center" wrapText="1" indent="1"/>
    </xf>
    <xf numFmtId="2" fontId="2" fillId="0" borderId="25" xfId="0" applyNumberFormat="1" applyFont="1" applyFill="1" applyBorder="1" applyAlignment="1">
      <alignment horizontal="right" vertical="center" wrapText="1" indent="1"/>
    </xf>
    <xf numFmtId="2" fontId="2" fillId="0" borderId="24" xfId="0" applyNumberFormat="1" applyFont="1" applyFill="1" applyBorder="1" applyAlignment="1">
      <alignment horizontal="right" vertical="center" wrapText="1" indent="1"/>
    </xf>
    <xf numFmtId="2" fontId="2" fillId="0" borderId="14" xfId="0" applyNumberFormat="1" applyFont="1" applyFill="1" applyBorder="1" applyAlignment="1">
      <alignment horizontal="right" vertical="center" indent="1"/>
    </xf>
    <xf numFmtId="2" fontId="2" fillId="0" borderId="20" xfId="0" applyNumberFormat="1" applyFont="1" applyFill="1" applyBorder="1" applyAlignment="1">
      <alignment horizontal="right" vertical="center" indent="1"/>
    </xf>
    <xf numFmtId="2" fontId="2" fillId="0" borderId="25" xfId="0" applyNumberFormat="1" applyFont="1" applyFill="1" applyBorder="1" applyAlignment="1">
      <alignment horizontal="right" vertical="center" indent="1"/>
    </xf>
    <xf numFmtId="2" fontId="2" fillId="0" borderId="24" xfId="0" applyNumberFormat="1" applyFont="1" applyFill="1" applyBorder="1" applyAlignment="1">
      <alignment horizontal="right" vertical="center" indent="1"/>
    </xf>
    <xf numFmtId="2" fontId="2" fillId="34" borderId="15" xfId="0" applyNumberFormat="1" applyFont="1" applyFill="1" applyBorder="1" applyAlignment="1">
      <alignment horizontal="right" vertical="center" wrapText="1" indent="1"/>
    </xf>
    <xf numFmtId="2" fontId="2" fillId="34" borderId="23" xfId="0" applyNumberFormat="1" applyFont="1" applyFill="1" applyBorder="1" applyAlignment="1">
      <alignment horizontal="right" vertical="center" wrapText="1" indent="1"/>
    </xf>
    <xf numFmtId="2" fontId="2" fillId="34" borderId="30" xfId="0" applyNumberFormat="1" applyFont="1" applyFill="1" applyBorder="1" applyAlignment="1">
      <alignment horizontal="right" vertical="center" wrapText="1" indent="1"/>
    </xf>
    <xf numFmtId="2" fontId="2" fillId="34" borderId="29" xfId="0" applyNumberFormat="1" applyFont="1" applyFill="1" applyBorder="1" applyAlignment="1">
      <alignment horizontal="right" vertical="center" wrapText="1" indent="1"/>
    </xf>
    <xf numFmtId="0" fontId="2" fillId="34" borderId="13" xfId="0" applyFont="1" applyFill="1" applyBorder="1" applyAlignment="1" applyProtection="1">
      <alignment horizontal="right" vertical="center" wrapText="1" indent="1"/>
      <protection/>
    </xf>
    <xf numFmtId="0" fontId="2" fillId="34" borderId="12" xfId="0" applyFont="1" applyFill="1" applyBorder="1" applyAlignment="1" applyProtection="1">
      <alignment horizontal="right" vertical="center" wrapText="1" indent="1"/>
      <protection/>
    </xf>
    <xf numFmtId="0" fontId="2" fillId="34" borderId="35" xfId="0" applyFont="1" applyFill="1" applyBorder="1" applyAlignment="1" applyProtection="1">
      <alignment horizontal="right" vertical="center" wrapText="1" indent="1"/>
      <protection/>
    </xf>
    <xf numFmtId="0" fontId="2" fillId="34" borderId="34" xfId="0" applyFont="1" applyFill="1" applyBorder="1" applyAlignment="1" applyProtection="1">
      <alignment horizontal="right" vertical="center" wrapText="1" indent="1"/>
      <protection/>
    </xf>
    <xf numFmtId="0" fontId="2" fillId="34" borderId="59" xfId="0" applyFont="1" applyFill="1" applyBorder="1" applyAlignment="1" applyProtection="1">
      <alignment horizontal="right" vertical="center" wrapText="1" indent="1"/>
      <protection/>
    </xf>
    <xf numFmtId="0" fontId="2" fillId="34" borderId="50" xfId="0" applyFont="1" applyFill="1" applyBorder="1" applyAlignment="1" applyProtection="1">
      <alignment horizontal="right" vertical="center" wrapText="1" indent="1"/>
      <protection/>
    </xf>
    <xf numFmtId="188" fontId="2" fillId="28" borderId="17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22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21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" fillId="34" borderId="15" xfId="0" applyFont="1" applyFill="1" applyBorder="1" applyAlignment="1" applyProtection="1">
      <alignment horizontal="right" vertical="center" wrapText="1" indent="1"/>
      <protection/>
    </xf>
    <xf numFmtId="0" fontId="2" fillId="34" borderId="23" xfId="0" applyFont="1" applyFill="1" applyBorder="1" applyAlignment="1" applyProtection="1">
      <alignment horizontal="right" vertical="center" wrapText="1" indent="1"/>
      <protection/>
    </xf>
    <xf numFmtId="0" fontId="2" fillId="34" borderId="16" xfId="0" applyFont="1" applyFill="1" applyBorder="1" applyAlignment="1" applyProtection="1">
      <alignment horizontal="right" vertical="center" wrapText="1" indent="1"/>
      <protection/>
    </xf>
    <xf numFmtId="0" fontId="2" fillId="34" borderId="71" xfId="0" applyFont="1" applyFill="1" applyBorder="1" applyAlignment="1" applyProtection="1">
      <alignment horizontal="right" vertical="center" wrapText="1" indent="1"/>
      <protection/>
    </xf>
    <xf numFmtId="0" fontId="2" fillId="34" borderId="51" xfId="0" applyFont="1" applyFill="1" applyBorder="1" applyAlignment="1" applyProtection="1">
      <alignment horizontal="right" vertical="center" wrapText="1" indent="1"/>
      <protection/>
    </xf>
    <xf numFmtId="0" fontId="2" fillId="0" borderId="7" xfId="0" applyFont="1" applyFill="1" applyBorder="1" applyAlignment="1" applyProtection="1">
      <alignment horizontal="right" wrapText="1" indent="1"/>
      <protection/>
    </xf>
    <xf numFmtId="0" fontId="0" fillId="0" borderId="7" xfId="0" applyBorder="1" applyAlignment="1">
      <alignment horizontal="right" indent="1"/>
    </xf>
    <xf numFmtId="0" fontId="2" fillId="28" borderId="7" xfId="0" applyFont="1" applyFill="1" applyBorder="1" applyAlignment="1" applyProtection="1">
      <alignment horizontal="right" wrapText="1" indent="1"/>
      <protection locked="0"/>
    </xf>
    <xf numFmtId="14" fontId="2" fillId="28" borderId="7" xfId="0" applyNumberFormat="1" applyFont="1" applyFill="1" applyBorder="1" applyAlignment="1" applyProtection="1">
      <alignment vertical="center" wrapText="1"/>
      <protection locked="0"/>
    </xf>
    <xf numFmtId="2" fontId="2" fillId="28" borderId="62" xfId="0" applyNumberFormat="1" applyFont="1" applyFill="1" applyBorder="1" applyAlignment="1" applyProtection="1">
      <alignment vertical="center" wrapText="1"/>
      <protection locked="0"/>
    </xf>
    <xf numFmtId="2" fontId="2" fillId="34" borderId="72" xfId="0" applyNumberFormat="1" applyFont="1" applyFill="1" applyBorder="1" applyAlignment="1">
      <alignment vertical="center" wrapText="1"/>
    </xf>
    <xf numFmtId="2" fontId="2" fillId="34" borderId="61" xfId="0" applyNumberFormat="1" applyFont="1" applyFill="1" applyBorder="1" applyAlignment="1">
      <alignment vertical="center" wrapText="1"/>
    </xf>
    <xf numFmtId="2" fontId="2" fillId="34" borderId="73" xfId="0" applyNumberFormat="1" applyFont="1" applyFill="1" applyBorder="1" applyAlignment="1">
      <alignment vertical="center" wrapText="1"/>
    </xf>
    <xf numFmtId="2" fontId="2" fillId="34" borderId="74" xfId="0" applyNumberFormat="1" applyFont="1" applyFill="1" applyBorder="1" applyAlignment="1">
      <alignment vertical="center" wrapText="1"/>
    </xf>
    <xf numFmtId="2" fontId="2" fillId="28" borderId="47" xfId="0" applyNumberFormat="1" applyFont="1" applyFill="1" applyBorder="1" applyAlignment="1" applyProtection="1">
      <alignment vertical="center" wrapText="1"/>
      <protection locked="0"/>
    </xf>
    <xf numFmtId="2" fontId="2" fillId="34" borderId="75" xfId="0" applyNumberFormat="1" applyFont="1" applyFill="1" applyBorder="1" applyAlignment="1">
      <alignment vertical="center" wrapText="1"/>
    </xf>
    <xf numFmtId="0" fontId="2" fillId="0" borderId="62" xfId="0" applyFont="1" applyFill="1" applyBorder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right" vertical="center" wrapText="1"/>
      <protection/>
    </xf>
    <xf numFmtId="0" fontId="2" fillId="0" borderId="7" xfId="0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2" fontId="2" fillId="34" borderId="7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7" xfId="0" applyNumberFormat="1" applyFont="1" applyFill="1" applyBorder="1" applyAlignment="1">
      <alignment horizontal="right" vertical="center" wrapText="1" indent="1"/>
    </xf>
    <xf numFmtId="2" fontId="2" fillId="34" borderId="16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2" fontId="2" fillId="34" borderId="59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right" vertical="center" wrapText="1"/>
    </xf>
    <xf numFmtId="2" fontId="0" fillId="34" borderId="21" xfId="0" applyNumberFormat="1" applyFont="1" applyFill="1" applyBorder="1" applyAlignment="1">
      <alignment horizontal="right" vertical="center" wrapText="1"/>
    </xf>
    <xf numFmtId="2" fontId="0" fillId="34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 applyProtection="1">
      <alignment vertical="center" wrapText="1"/>
      <protection/>
    </xf>
    <xf numFmtId="0" fontId="5" fillId="0" borderId="59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90" fontId="2" fillId="34" borderId="7" xfId="0" applyNumberFormat="1" applyFont="1" applyFill="1" applyBorder="1" applyAlignment="1">
      <alignment horizontal="right" vertical="center" wrapText="1" indent="1"/>
    </xf>
    <xf numFmtId="190" fontId="2" fillId="34" borderId="7" xfId="0" applyNumberFormat="1" applyFont="1" applyFill="1" applyBorder="1" applyAlignment="1" applyProtection="1">
      <alignment horizontal="right" vertical="center" wrapText="1" indent="1"/>
      <protection/>
    </xf>
    <xf numFmtId="2" fontId="2" fillId="28" borderId="21" xfId="0" applyNumberFormat="1" applyFont="1" applyFill="1" applyBorder="1" applyAlignment="1" applyProtection="1">
      <alignment horizontal="center" vertical="center"/>
      <protection locked="0"/>
    </xf>
    <xf numFmtId="2" fontId="2" fillId="28" borderId="60" xfId="0" applyNumberFormat="1" applyFont="1" applyFill="1" applyBorder="1" applyAlignment="1" applyProtection="1">
      <alignment horizontal="center" vertical="center"/>
      <protection locked="0"/>
    </xf>
    <xf numFmtId="2" fontId="3" fillId="28" borderId="62" xfId="0" applyNumberFormat="1" applyFont="1" applyFill="1" applyBorder="1" applyAlignment="1" applyProtection="1">
      <alignment horizontal="center" vertical="center"/>
      <protection locked="0"/>
    </xf>
    <xf numFmtId="2" fontId="3" fillId="28" borderId="61" xfId="0" applyNumberFormat="1" applyFont="1" applyFill="1" applyBorder="1" applyAlignment="1" applyProtection="1">
      <alignment horizontal="center" vertical="center"/>
      <protection locked="0"/>
    </xf>
    <xf numFmtId="2" fontId="2" fillId="28" borderId="59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8" borderId="7" xfId="0" applyNumberFormat="1" applyFont="1" applyFill="1" applyBorder="1" applyAlignment="1" applyProtection="1">
      <alignment horizontal="center" vertical="center" wrapText="1"/>
      <protection locked="0"/>
    </xf>
    <xf numFmtId="14" fontId="3" fillId="28" borderId="7" xfId="0" applyNumberFormat="1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 applyProtection="1">
      <alignment vertical="center" wrapText="1"/>
      <protection/>
    </xf>
    <xf numFmtId="2" fontId="2" fillId="34" borderId="25" xfId="0" applyNumberFormat="1" applyFont="1" applyFill="1" applyBorder="1" applyAlignment="1">
      <alignment horizontal="right" vertical="center" wrapText="1"/>
    </xf>
    <xf numFmtId="2" fontId="2" fillId="34" borderId="15" xfId="0" applyNumberFormat="1" applyFont="1" applyFill="1" applyBorder="1" applyAlignment="1">
      <alignment horizontal="right" vertical="center" wrapText="1"/>
    </xf>
    <xf numFmtId="2" fontId="2" fillId="34" borderId="23" xfId="0" applyNumberFormat="1" applyFont="1" applyFill="1" applyBorder="1" applyAlignment="1">
      <alignment horizontal="right" vertical="center" wrapText="1"/>
    </xf>
    <xf numFmtId="0" fontId="2" fillId="35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2" fontId="2" fillId="34" borderId="17" xfId="0" applyNumberFormat="1" applyFont="1" applyFill="1" applyBorder="1" applyAlignment="1" applyProtection="1">
      <alignment vertical="center"/>
      <protection/>
    </xf>
    <xf numFmtId="2" fontId="2" fillId="34" borderId="22" xfId="0" applyNumberFormat="1" applyFont="1" applyFill="1" applyBorder="1" applyAlignment="1" applyProtection="1">
      <alignment vertical="center"/>
      <protection/>
    </xf>
    <xf numFmtId="2" fontId="2" fillId="34" borderId="14" xfId="0" applyNumberFormat="1" applyFont="1" applyFill="1" applyBorder="1" applyAlignment="1" applyProtection="1">
      <alignment vertical="center"/>
      <protection/>
    </xf>
    <xf numFmtId="2" fontId="2" fillId="34" borderId="20" xfId="0" applyNumberFormat="1" applyFont="1" applyFill="1" applyBorder="1" applyAlignment="1" applyProtection="1">
      <alignment vertical="center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vertical="center"/>
      <protection/>
    </xf>
    <xf numFmtId="2" fontId="2" fillId="34" borderId="15" xfId="0" applyNumberFormat="1" applyFont="1" applyFill="1" applyBorder="1" applyAlignment="1" applyProtection="1">
      <alignment vertical="center"/>
      <protection/>
    </xf>
    <xf numFmtId="2" fontId="2" fillId="34" borderId="23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2" fontId="2" fillId="34" borderId="79" xfId="67" applyNumberFormat="1" applyFont="1" applyFill="1" applyBorder="1" applyAlignment="1" applyProtection="1">
      <alignment vertical="center"/>
      <protection/>
    </xf>
    <xf numFmtId="4" fontId="2" fillId="34" borderId="7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80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3" fillId="0" borderId="72" xfId="0" applyNumberFormat="1" applyFont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2" fontId="2" fillId="34" borderId="22" xfId="0" applyNumberFormat="1" applyFont="1" applyFill="1" applyBorder="1" applyAlignment="1" applyProtection="1">
      <alignment horizontal="center" vertical="center"/>
      <protection locked="0"/>
    </xf>
    <xf numFmtId="2" fontId="2" fillId="34" borderId="50" xfId="0" applyNumberFormat="1" applyFont="1" applyFill="1" applyBorder="1" applyAlignment="1" applyProtection="1">
      <alignment horizontal="center" vertical="center"/>
      <protection locked="0"/>
    </xf>
    <xf numFmtId="2" fontId="3" fillId="34" borderId="62" xfId="0" applyNumberFormat="1" applyFont="1" applyFill="1" applyBorder="1" applyAlignment="1" applyProtection="1">
      <alignment horizontal="center" vertical="center"/>
      <protection/>
    </xf>
    <xf numFmtId="2" fontId="3" fillId="28" borderId="45" xfId="0" applyNumberFormat="1" applyFont="1" applyFill="1" applyBorder="1" applyAlignment="1" applyProtection="1">
      <alignment horizontal="center" vertical="center"/>
      <protection locked="0"/>
    </xf>
    <xf numFmtId="2" fontId="3" fillId="34" borderId="61" xfId="0" applyNumberFormat="1" applyFont="1" applyFill="1" applyBorder="1" applyAlignment="1" applyProtection="1">
      <alignment horizontal="center" vertical="center"/>
      <protection/>
    </xf>
    <xf numFmtId="2" fontId="3" fillId="34" borderId="7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/>
      <protection/>
    </xf>
    <xf numFmtId="0" fontId="25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/>
      <protection/>
    </xf>
    <xf numFmtId="188" fontId="2" fillId="34" borderId="14" xfId="0" applyNumberFormat="1" applyFont="1" applyFill="1" applyBorder="1" applyAlignment="1" applyProtection="1">
      <alignment horizontal="center" vertical="center"/>
      <protection/>
    </xf>
    <xf numFmtId="188" fontId="2" fillId="34" borderId="15" xfId="0" applyNumberFormat="1" applyFont="1" applyFill="1" applyBorder="1" applyAlignment="1" applyProtection="1">
      <alignment horizontal="center" vertical="center"/>
      <protection/>
    </xf>
    <xf numFmtId="188" fontId="2" fillId="34" borderId="23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28" fillId="0" borderId="53" xfId="0" applyFont="1" applyBorder="1" applyAlignment="1">
      <alignment vertical="center"/>
    </xf>
    <xf numFmtId="0" fontId="0" fillId="0" borderId="53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188" fontId="0" fillId="0" borderId="14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3" fillId="34" borderId="14" xfId="0" applyNumberFormat="1" applyFont="1" applyFill="1" applyBorder="1" applyAlignment="1" applyProtection="1">
      <alignment horizontal="right" vertical="center"/>
      <protection/>
    </xf>
    <xf numFmtId="188" fontId="3" fillId="34" borderId="20" xfId="0" applyNumberFormat="1" applyFont="1" applyFill="1" applyBorder="1" applyAlignment="1" applyProtection="1">
      <alignment horizontal="right" vertical="center"/>
      <protection/>
    </xf>
    <xf numFmtId="188" fontId="32" fillId="34" borderId="14" xfId="0" applyNumberFormat="1" applyFont="1" applyFill="1" applyBorder="1" applyAlignment="1" applyProtection="1">
      <alignment horizontal="right" vertical="center"/>
      <protection/>
    </xf>
    <xf numFmtId="188" fontId="32" fillId="34" borderId="20" xfId="0" applyNumberFormat="1" applyFont="1" applyFill="1" applyBorder="1" applyAlignment="1" applyProtection="1">
      <alignment horizontal="right" vertical="center"/>
      <protection/>
    </xf>
    <xf numFmtId="188" fontId="2" fillId="0" borderId="14" xfId="0" applyNumberFormat="1" applyFont="1" applyBorder="1" applyAlignment="1">
      <alignment horizontal="right" vertical="center"/>
    </xf>
    <xf numFmtId="188" fontId="2" fillId="0" borderId="20" xfId="0" applyNumberFormat="1" applyFont="1" applyBorder="1" applyAlignment="1">
      <alignment horizontal="right" vertical="center"/>
    </xf>
    <xf numFmtId="188" fontId="2" fillId="28" borderId="14" xfId="0" applyNumberFormat="1" applyFont="1" applyFill="1" applyBorder="1" applyAlignment="1" applyProtection="1">
      <alignment horizontal="right" vertical="center"/>
      <protection locked="0"/>
    </xf>
    <xf numFmtId="188" fontId="2" fillId="34" borderId="20" xfId="0" applyNumberFormat="1" applyFont="1" applyFill="1" applyBorder="1" applyAlignment="1" applyProtection="1">
      <alignment horizontal="right" vertical="center"/>
      <protection/>
    </xf>
    <xf numFmtId="188" fontId="2" fillId="34" borderId="14" xfId="0" applyNumberFormat="1" applyFont="1" applyFill="1" applyBorder="1" applyAlignment="1" applyProtection="1">
      <alignment horizontal="right" vertical="center"/>
      <protection/>
    </xf>
    <xf numFmtId="188" fontId="2" fillId="28" borderId="20" xfId="0" applyNumberFormat="1" applyFont="1" applyFill="1" applyBorder="1" applyAlignment="1" applyProtection="1">
      <alignment horizontal="right" vertical="center"/>
      <protection locked="0"/>
    </xf>
    <xf numFmtId="188" fontId="2" fillId="0" borderId="14" xfId="0" applyNumberFormat="1" applyFont="1" applyFill="1" applyBorder="1" applyAlignment="1" applyProtection="1">
      <alignment horizontal="right" vertical="center"/>
      <protection/>
    </xf>
    <xf numFmtId="188" fontId="32" fillId="34" borderId="20" xfId="0" applyNumberFormat="1" applyFont="1" applyFill="1" applyBorder="1" applyAlignment="1" applyProtection="1">
      <alignment horizontal="left" vertical="center"/>
      <protection/>
    </xf>
    <xf numFmtId="188" fontId="32" fillId="0" borderId="20" xfId="0" applyNumberFormat="1" applyFont="1" applyFill="1" applyBorder="1" applyAlignment="1" applyProtection="1">
      <alignment horizontal="left" vertical="center"/>
      <protection/>
    </xf>
    <xf numFmtId="188" fontId="32" fillId="34" borderId="14" xfId="0" applyNumberFormat="1" applyFont="1" applyFill="1" applyBorder="1" applyAlignment="1" applyProtection="1">
      <alignment horizontal="left" vertical="center"/>
      <protection/>
    </xf>
    <xf numFmtId="188" fontId="2" fillId="0" borderId="14" xfId="0" applyNumberFormat="1" applyFont="1" applyFill="1" applyBorder="1" applyAlignment="1" applyProtection="1">
      <alignment horizontal="right" vertical="center"/>
      <protection locked="0"/>
    </xf>
    <xf numFmtId="188" fontId="2" fillId="0" borderId="20" xfId="0" applyNumberFormat="1" applyFont="1" applyFill="1" applyBorder="1" applyAlignment="1" applyProtection="1">
      <alignment horizontal="right" vertical="center"/>
      <protection locked="0"/>
    </xf>
    <xf numFmtId="188" fontId="2" fillId="28" borderId="14" xfId="55" applyNumberFormat="1" applyFont="1" applyFill="1" applyBorder="1" applyAlignment="1" applyProtection="1">
      <alignment horizontal="left" vertical="center" wrapText="1"/>
      <protection locked="0"/>
    </xf>
    <xf numFmtId="188" fontId="2" fillId="28" borderId="20" xfId="55" applyNumberFormat="1" applyFont="1" applyFill="1" applyBorder="1" applyAlignment="1" applyProtection="1">
      <alignment horizontal="left" vertical="center" wrapText="1"/>
      <protection locked="0"/>
    </xf>
    <xf numFmtId="188" fontId="2" fillId="28" borderId="15" xfId="55" applyNumberFormat="1" applyFont="1" applyFill="1" applyBorder="1" applyAlignment="1" applyProtection="1">
      <alignment horizontal="left" vertical="center" wrapText="1"/>
      <protection locked="0"/>
    </xf>
    <xf numFmtId="188" fontId="2" fillId="28" borderId="23" xfId="55" applyNumberFormat="1" applyFont="1" applyFill="1" applyBorder="1" applyAlignment="1" applyProtection="1">
      <alignment horizontal="left" vertical="center" wrapText="1"/>
      <protection locked="0"/>
    </xf>
    <xf numFmtId="188" fontId="2" fillId="34" borderId="65" xfId="0" applyNumberFormat="1" applyFont="1" applyFill="1" applyBorder="1" applyAlignment="1" applyProtection="1">
      <alignment horizontal="right" vertical="center" indent="1"/>
      <protection/>
    </xf>
    <xf numFmtId="188" fontId="2" fillId="28" borderId="14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2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34" borderId="14" xfId="0" applyNumberFormat="1" applyFont="1" applyFill="1" applyBorder="1" applyAlignment="1" applyProtection="1">
      <alignment horizontal="right" vertical="center" indent="1"/>
      <protection/>
    </xf>
    <xf numFmtId="188" fontId="2" fillId="34" borderId="20" xfId="0" applyNumberFormat="1" applyFont="1" applyFill="1" applyBorder="1" applyAlignment="1" applyProtection="1">
      <alignment horizontal="right" vertical="center" indent="1"/>
      <protection/>
    </xf>
    <xf numFmtId="188" fontId="2" fillId="34" borderId="15" xfId="0" applyNumberFormat="1" applyFont="1" applyFill="1" applyBorder="1" applyAlignment="1" applyProtection="1">
      <alignment horizontal="right" vertical="center" indent="1"/>
      <protection/>
    </xf>
    <xf numFmtId="188" fontId="2" fillId="34" borderId="23" xfId="0" applyNumberFormat="1" applyFont="1" applyFill="1" applyBorder="1" applyAlignment="1" applyProtection="1">
      <alignment horizontal="right" vertical="center" indent="1"/>
      <protection/>
    </xf>
    <xf numFmtId="188" fontId="2" fillId="34" borderId="7" xfId="0" applyNumberFormat="1" applyFont="1" applyFill="1" applyBorder="1" applyAlignment="1" applyProtection="1">
      <alignment horizontal="right" vertical="center" indent="1"/>
      <protection/>
    </xf>
    <xf numFmtId="188" fontId="2" fillId="28" borderId="7" xfId="0" applyNumberFormat="1" applyFont="1" applyFill="1" applyBorder="1" applyAlignment="1" applyProtection="1">
      <alignment horizontal="right" vertical="center" indent="1"/>
      <protection locked="0"/>
    </xf>
    <xf numFmtId="188" fontId="2" fillId="34" borderId="16" xfId="0" applyNumberFormat="1" applyFont="1" applyFill="1" applyBorder="1" applyAlignment="1" applyProtection="1">
      <alignment vertical="center" wrapText="1"/>
      <protection/>
    </xf>
    <xf numFmtId="188" fontId="2" fillId="34" borderId="7" xfId="0" applyNumberFormat="1" applyFont="1" applyFill="1" applyBorder="1" applyAlignment="1" applyProtection="1">
      <alignment vertical="center" wrapText="1"/>
      <protection/>
    </xf>
    <xf numFmtId="188" fontId="2" fillId="0" borderId="7" xfId="0" applyNumberFormat="1" applyFont="1" applyFill="1" applyBorder="1" applyAlignment="1" applyProtection="1">
      <alignment vertical="center" wrapText="1"/>
      <protection/>
    </xf>
    <xf numFmtId="188" fontId="2" fillId="0" borderId="7" xfId="0" applyNumberFormat="1" applyFont="1" applyFill="1" applyBorder="1" applyAlignment="1" applyProtection="1">
      <alignment horizontal="center" vertical="center" wrapText="1"/>
      <protection/>
    </xf>
    <xf numFmtId="188" fontId="2" fillId="0" borderId="24" xfId="0" applyNumberFormat="1" applyFont="1" applyFill="1" applyBorder="1" applyAlignment="1" applyProtection="1">
      <alignment vertical="center" wrapText="1"/>
      <protection/>
    </xf>
    <xf numFmtId="188" fontId="2" fillId="0" borderId="20" xfId="0" applyNumberFormat="1" applyFont="1" applyFill="1" applyBorder="1" applyAlignment="1" applyProtection="1">
      <alignment vertical="center" wrapText="1"/>
      <protection/>
    </xf>
    <xf numFmtId="188" fontId="10" fillId="34" borderId="62" xfId="61" applyNumberFormat="1" applyFont="1" applyFill="1" applyBorder="1" applyAlignment="1" applyProtection="1">
      <alignment horizontal="center" vertical="center" wrapText="1"/>
      <protection/>
    </xf>
    <xf numFmtId="188" fontId="10" fillId="28" borderId="44" xfId="61" applyNumberFormat="1" applyFont="1" applyFill="1" applyBorder="1" applyAlignment="1" applyProtection="1">
      <alignment horizontal="center" vertical="center" wrapText="1"/>
      <protection locked="0"/>
    </xf>
    <xf numFmtId="188" fontId="10" fillId="0" borderId="45" xfId="61" applyNumberFormat="1" applyFont="1" applyFill="1" applyBorder="1" applyAlignment="1" applyProtection="1">
      <alignment horizontal="center" vertical="center" wrapText="1"/>
      <protection/>
    </xf>
    <xf numFmtId="188" fontId="2" fillId="34" borderId="7" xfId="0" applyNumberFormat="1" applyFont="1" applyFill="1" applyBorder="1" applyAlignment="1" applyProtection="1">
      <alignment horizontal="center" vertical="center" wrapText="1"/>
      <protection/>
    </xf>
    <xf numFmtId="188" fontId="2" fillId="34" borderId="20" xfId="0" applyNumberFormat="1" applyFont="1" applyFill="1" applyBorder="1" applyAlignment="1" applyProtection="1">
      <alignment horizontal="center" vertical="center" wrapText="1"/>
      <protection/>
    </xf>
    <xf numFmtId="188" fontId="2" fillId="34" borderId="21" xfId="0" applyNumberFormat="1" applyFont="1" applyFill="1" applyBorder="1" applyAlignment="1" applyProtection="1">
      <alignment horizontal="center" vertical="center" wrapText="1"/>
      <protection/>
    </xf>
    <xf numFmtId="188" fontId="2" fillId="34" borderId="22" xfId="0" applyNumberFormat="1" applyFont="1" applyFill="1" applyBorder="1" applyAlignment="1" applyProtection="1">
      <alignment horizontal="center" vertical="center" wrapText="1"/>
      <protection/>
    </xf>
    <xf numFmtId="188" fontId="2" fillId="28" borderId="21" xfId="0" applyNumberFormat="1" applyFont="1" applyFill="1" applyBorder="1" applyAlignment="1" applyProtection="1">
      <alignment horizontal="center" vertical="center"/>
      <protection locked="0"/>
    </xf>
    <xf numFmtId="188" fontId="2" fillId="28" borderId="22" xfId="0" applyNumberFormat="1" applyFont="1" applyFill="1" applyBorder="1" applyAlignment="1" applyProtection="1">
      <alignment horizontal="center" vertical="center"/>
      <protection locked="0"/>
    </xf>
    <xf numFmtId="188" fontId="2" fillId="34" borderId="21" xfId="0" applyNumberFormat="1" applyFont="1" applyFill="1" applyBorder="1" applyAlignment="1" applyProtection="1">
      <alignment horizontal="center" vertical="center"/>
      <protection/>
    </xf>
    <xf numFmtId="188" fontId="2" fillId="28" borderId="32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34" borderId="25" xfId="0" applyNumberFormat="1" applyFont="1" applyFill="1" applyBorder="1" applyAlignment="1" applyProtection="1">
      <alignment horizontal="right" vertical="center" indent="1"/>
      <protection/>
    </xf>
    <xf numFmtId="188" fontId="2" fillId="34" borderId="24" xfId="0" applyNumberFormat="1" applyFont="1" applyFill="1" applyBorder="1" applyAlignment="1" applyProtection="1">
      <alignment horizontal="right" vertical="center" indent="1"/>
      <protection/>
    </xf>
    <xf numFmtId="188" fontId="2" fillId="28" borderId="25" xfId="0" applyNumberFormat="1" applyFont="1" applyFill="1" applyBorder="1" applyAlignment="1" applyProtection="1">
      <alignment horizontal="right" vertical="center" indent="1"/>
      <protection locked="0"/>
    </xf>
    <xf numFmtId="188" fontId="2" fillId="28" borderId="24" xfId="0" applyNumberFormat="1" applyFont="1" applyFill="1" applyBorder="1" applyAlignment="1" applyProtection="1">
      <alignment horizontal="right" vertical="center" indent="1"/>
      <protection locked="0"/>
    </xf>
    <xf numFmtId="188" fontId="2" fillId="34" borderId="25" xfId="0" applyNumberFormat="1" applyFont="1" applyFill="1" applyBorder="1" applyAlignment="1">
      <alignment horizontal="right" vertical="center" indent="1"/>
    </xf>
    <xf numFmtId="188" fontId="2" fillId="34" borderId="7" xfId="0" applyNumberFormat="1" applyFont="1" applyFill="1" applyBorder="1" applyAlignment="1">
      <alignment horizontal="right" vertical="center" indent="1"/>
    </xf>
    <xf numFmtId="188" fontId="2" fillId="34" borderId="24" xfId="0" applyNumberFormat="1" applyFont="1" applyFill="1" applyBorder="1" applyAlignment="1">
      <alignment horizontal="right" vertical="center" indent="1"/>
    </xf>
    <xf numFmtId="188" fontId="2" fillId="34" borderId="14" xfId="0" applyNumberFormat="1" applyFont="1" applyFill="1" applyBorder="1" applyAlignment="1">
      <alignment horizontal="right" vertical="center" indent="1"/>
    </xf>
    <xf numFmtId="188" fontId="2" fillId="34" borderId="20" xfId="0" applyNumberFormat="1" applyFont="1" applyFill="1" applyBorder="1" applyAlignment="1">
      <alignment horizontal="right" vertical="center" indent="1"/>
    </xf>
    <xf numFmtId="188" fontId="2" fillId="0" borderId="14" xfId="0" applyNumberFormat="1" applyFont="1" applyBorder="1" applyAlignment="1" applyProtection="1">
      <alignment horizontal="center" vertical="center" wrapText="1"/>
      <protection/>
    </xf>
    <xf numFmtId="188" fontId="2" fillId="0" borderId="14" xfId="0" applyNumberFormat="1" applyFont="1" applyBorder="1" applyAlignment="1" applyProtection="1">
      <alignment horizontal="right" vertical="center" wrapText="1"/>
      <protection/>
    </xf>
    <xf numFmtId="188" fontId="2" fillId="0" borderId="20" xfId="0" applyNumberFormat="1" applyFont="1" applyBorder="1" applyAlignment="1" applyProtection="1">
      <alignment vertical="center"/>
      <protection/>
    </xf>
    <xf numFmtId="188" fontId="2" fillId="0" borderId="14" xfId="0" applyNumberFormat="1" applyFont="1" applyBorder="1" applyAlignment="1" applyProtection="1">
      <alignment vertical="center"/>
      <protection/>
    </xf>
    <xf numFmtId="188" fontId="2" fillId="28" borderId="15" xfId="0" applyNumberFormat="1" applyFont="1" applyFill="1" applyBorder="1" applyAlignment="1" applyProtection="1">
      <alignment vertical="center" wrapText="1"/>
      <protection locked="0"/>
    </xf>
    <xf numFmtId="188" fontId="2" fillId="28" borderId="23" xfId="0" applyNumberFormat="1" applyFont="1" applyFill="1" applyBorder="1" applyAlignment="1" applyProtection="1">
      <alignment vertical="center" wrapText="1"/>
      <protection locked="0"/>
    </xf>
    <xf numFmtId="188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35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13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59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50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34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6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23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5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4" xfId="0" applyNumberFormat="1" applyFont="1" applyFill="1" applyBorder="1" applyAlignment="1">
      <alignment horizontal="right" vertical="center"/>
    </xf>
    <xf numFmtId="2" fontId="2" fillId="34" borderId="20" xfId="0" applyNumberFormat="1" applyFont="1" applyFill="1" applyBorder="1" applyAlignment="1">
      <alignment horizontal="right" vertical="center"/>
    </xf>
    <xf numFmtId="2" fontId="2" fillId="34" borderId="20" xfId="0" applyNumberFormat="1" applyFont="1" applyFill="1" applyBorder="1" applyAlignment="1" applyProtection="1">
      <alignment horizontal="right" vertical="center" wrapText="1" indent="1"/>
      <protection/>
    </xf>
    <xf numFmtId="2" fontId="0" fillId="0" borderId="0" xfId="0" applyNumberFormat="1" applyFont="1" applyBorder="1" applyAlignment="1">
      <alignment horizontal="right" vertical="center" indent="1"/>
    </xf>
    <xf numFmtId="2" fontId="0" fillId="0" borderId="19" xfId="0" applyNumberFormat="1" applyFont="1" applyBorder="1" applyAlignment="1">
      <alignment horizontal="right" vertical="center" indent="1"/>
    </xf>
    <xf numFmtId="2" fontId="2" fillId="34" borderId="17" xfId="0" applyNumberFormat="1" applyFont="1" applyFill="1" applyBorder="1" applyAlignment="1">
      <alignment horizontal="right" vertical="center" wrapText="1" indent="1"/>
    </xf>
    <xf numFmtId="2" fontId="2" fillId="34" borderId="22" xfId="0" applyNumberFormat="1" applyFont="1" applyFill="1" applyBorder="1" applyAlignment="1">
      <alignment horizontal="right" vertical="center" wrapText="1" indent="1"/>
    </xf>
    <xf numFmtId="2" fontId="2" fillId="34" borderId="55" xfId="0" applyNumberFormat="1" applyFont="1" applyFill="1" applyBorder="1" applyAlignment="1">
      <alignment horizontal="right" vertical="center" wrapText="1" indent="1"/>
    </xf>
    <xf numFmtId="2" fontId="2" fillId="34" borderId="32" xfId="0" applyNumberFormat="1" applyFont="1" applyFill="1" applyBorder="1" applyAlignment="1">
      <alignment horizontal="right" vertical="center" wrapText="1" indent="1"/>
    </xf>
    <xf numFmtId="2" fontId="2" fillId="28" borderId="15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3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30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horizontal="right"/>
    </xf>
    <xf numFmtId="0" fontId="2" fillId="28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" fillId="28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28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" fillId="28" borderId="24" xfId="0" applyNumberFormat="1" applyFont="1" applyFill="1" applyBorder="1" applyAlignment="1" applyProtection="1">
      <alignment horizontal="right" vertical="center" wrapText="1" indent="1"/>
      <protection locked="0"/>
    </xf>
    <xf numFmtId="2" fontId="2" fillId="34" borderId="7" xfId="0" applyNumberFormat="1" applyFont="1" applyFill="1" applyBorder="1" applyAlignment="1" applyProtection="1">
      <alignment horizontal="right" wrapText="1" indent="1"/>
      <protection/>
    </xf>
    <xf numFmtId="2" fontId="2" fillId="0" borderId="7" xfId="0" applyNumberFormat="1" applyFont="1" applyFill="1" applyBorder="1" applyAlignment="1" applyProtection="1">
      <alignment horizontal="right" wrapText="1" indent="1"/>
      <protection/>
    </xf>
    <xf numFmtId="2" fontId="0" fillId="0" borderId="7" xfId="0" applyNumberFormat="1" applyBorder="1" applyAlignment="1">
      <alignment horizontal="right" indent="1"/>
    </xf>
    <xf numFmtId="2" fontId="2" fillId="28" borderId="7" xfId="0" applyNumberFormat="1" applyFont="1" applyFill="1" applyBorder="1" applyAlignment="1" applyProtection="1">
      <alignment horizontal="right" wrapText="1" indent="1"/>
      <protection locked="0"/>
    </xf>
    <xf numFmtId="2" fontId="10" fillId="34" borderId="7" xfId="0" applyNumberFormat="1" applyFont="1" applyFill="1" applyBorder="1" applyAlignment="1" applyProtection="1">
      <alignment horizontal="right" vertical="center" wrapText="1"/>
      <protection/>
    </xf>
    <xf numFmtId="2" fontId="10" fillId="0" borderId="7" xfId="0" applyNumberFormat="1" applyFont="1" applyBorder="1" applyAlignment="1">
      <alignment horizontal="center" vertical="center" wrapText="1"/>
    </xf>
    <xf numFmtId="2" fontId="10" fillId="34" borderId="7" xfId="0" applyNumberFormat="1" applyFont="1" applyFill="1" applyBorder="1" applyAlignment="1" applyProtection="1">
      <alignment horizontal="center" vertical="center" wrapText="1"/>
      <protection/>
    </xf>
    <xf numFmtId="2" fontId="10" fillId="0" borderId="25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 applyProtection="1">
      <alignment vertical="center" wrapText="1"/>
      <protection/>
    </xf>
    <xf numFmtId="2" fontId="0" fillId="0" borderId="7" xfId="0" applyNumberFormat="1" applyBorder="1" applyAlignment="1">
      <alignment/>
    </xf>
    <xf numFmtId="2" fontId="2" fillId="0" borderId="7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4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15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23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30" xfId="0" applyNumberFormat="1" applyFont="1" applyFill="1" applyBorder="1" applyAlignment="1">
      <alignment horizontal="right" vertical="center" wrapText="1" indent="1"/>
    </xf>
    <xf numFmtId="188" fontId="2" fillId="34" borderId="23" xfId="0" applyNumberFormat="1" applyFont="1" applyFill="1" applyBorder="1" applyAlignment="1">
      <alignment horizontal="right" vertical="center" wrapText="1" indent="1"/>
    </xf>
    <xf numFmtId="188" fontId="2" fillId="34" borderId="15" xfId="0" applyNumberFormat="1" applyFont="1" applyFill="1" applyBorder="1" applyAlignment="1">
      <alignment horizontal="right" vertical="center" wrapText="1" indent="1"/>
    </xf>
    <xf numFmtId="188" fontId="2" fillId="34" borderId="16" xfId="0" applyNumberFormat="1" applyFont="1" applyFill="1" applyBorder="1" applyAlignment="1">
      <alignment horizontal="right" vertical="center" wrapText="1" indent="1"/>
    </xf>
    <xf numFmtId="0" fontId="9" fillId="0" borderId="47" xfId="61" applyFont="1" applyBorder="1" applyAlignment="1" applyProtection="1">
      <alignment horizontal="center" vertical="center" wrapText="1"/>
      <protection/>
    </xf>
    <xf numFmtId="0" fontId="9" fillId="0" borderId="69" xfId="61" applyFont="1" applyBorder="1" applyAlignment="1" applyProtection="1">
      <alignment horizontal="center" vertical="center" wrapText="1"/>
      <protection/>
    </xf>
    <xf numFmtId="188" fontId="10" fillId="0" borderId="44" xfId="61" applyNumberFormat="1" applyFont="1" applyBorder="1" applyAlignment="1" applyProtection="1">
      <alignment horizontal="center" vertical="center" wrapText="1"/>
      <protection/>
    </xf>
    <xf numFmtId="188" fontId="10" fillId="0" borderId="45" xfId="61" applyNumberFormat="1" applyFont="1" applyBorder="1" applyAlignment="1" applyProtection="1">
      <alignment horizontal="center" vertical="center" wrapText="1"/>
      <protection/>
    </xf>
    <xf numFmtId="0" fontId="2" fillId="0" borderId="21" xfId="61" applyFont="1" applyFill="1" applyBorder="1" applyAlignment="1" applyProtection="1">
      <alignment vertical="center" textRotation="90" wrapText="1"/>
      <protection/>
    </xf>
    <xf numFmtId="188" fontId="2" fillId="34" borderId="80" xfId="61" applyNumberFormat="1" applyFont="1" applyFill="1" applyBorder="1" applyAlignment="1" applyProtection="1">
      <alignment horizontal="center" vertical="center" wrapText="1"/>
      <protection/>
    </xf>
    <xf numFmtId="188" fontId="10" fillId="34" borderId="60" xfId="61" applyNumberFormat="1" applyFont="1" applyFill="1" applyBorder="1" applyAlignment="1" applyProtection="1">
      <alignment horizontal="center" vertical="center" wrapText="1"/>
      <protection/>
    </xf>
    <xf numFmtId="188" fontId="2" fillId="34" borderId="63" xfId="61" applyNumberFormat="1" applyFont="1" applyFill="1" applyBorder="1" applyAlignment="1" applyProtection="1">
      <alignment horizontal="center" vertical="center" wrapText="1"/>
      <protection/>
    </xf>
    <xf numFmtId="0" fontId="9" fillId="0" borderId="82" xfId="61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9" fillId="0" borderId="57" xfId="61" applyFont="1" applyBorder="1" applyAlignment="1" applyProtection="1">
      <alignment horizontal="center" vertical="center" wrapText="1"/>
      <protection/>
    </xf>
    <xf numFmtId="188" fontId="2" fillId="34" borderId="72" xfId="61" applyNumberFormat="1" applyFont="1" applyFill="1" applyBorder="1" applyAlignment="1" applyProtection="1">
      <alignment horizontal="center" vertical="center" wrapText="1"/>
      <protection/>
    </xf>
    <xf numFmtId="188" fontId="2" fillId="34" borderId="83" xfId="61" applyNumberFormat="1" applyFont="1" applyFill="1" applyBorder="1" applyAlignment="1" applyProtection="1">
      <alignment horizontal="center" vertical="center" wrapText="1"/>
      <protection/>
    </xf>
    <xf numFmtId="188" fontId="2" fillId="34" borderId="79" xfId="6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/>
    </xf>
    <xf numFmtId="2" fontId="2" fillId="34" borderId="22" xfId="67" applyNumberFormat="1" applyFont="1" applyFill="1" applyBorder="1" applyAlignment="1" applyProtection="1">
      <alignment vertical="center"/>
      <protection/>
    </xf>
    <xf numFmtId="2" fontId="2" fillId="34" borderId="20" xfId="67" applyNumberFormat="1" applyFont="1" applyFill="1" applyBorder="1" applyAlignment="1" applyProtection="1">
      <alignment vertical="center"/>
      <protection/>
    </xf>
    <xf numFmtId="2" fontId="2" fillId="28" borderId="20" xfId="67" applyNumberFormat="1" applyFont="1" applyFill="1" applyBorder="1" applyAlignment="1" applyProtection="1">
      <alignment vertical="center"/>
      <protection locked="0"/>
    </xf>
    <xf numFmtId="2" fontId="3" fillId="34" borderId="20" xfId="67" applyNumberFormat="1" applyFont="1" applyFill="1" applyBorder="1" applyAlignment="1" applyProtection="1">
      <alignment vertical="center"/>
      <protection/>
    </xf>
    <xf numFmtId="0" fontId="2" fillId="35" borderId="82" xfId="67" applyFont="1" applyFill="1" applyBorder="1" applyAlignment="1" applyProtection="1">
      <alignment vertical="center"/>
      <protection/>
    </xf>
    <xf numFmtId="0" fontId="2" fillId="35" borderId="31" xfId="67" applyFont="1" applyFill="1" applyBorder="1" applyAlignment="1" applyProtection="1">
      <alignment vertical="center"/>
      <protection/>
    </xf>
    <xf numFmtId="0" fontId="2" fillId="35" borderId="26" xfId="67" applyFont="1" applyFill="1" applyBorder="1" applyAlignment="1" applyProtection="1">
      <alignment vertical="center"/>
      <protection/>
    </xf>
    <xf numFmtId="0" fontId="2" fillId="35" borderId="26" xfId="67" applyFont="1" applyFill="1" applyBorder="1" applyAlignment="1" applyProtection="1">
      <alignment vertical="center" wrapText="1"/>
      <protection/>
    </xf>
    <xf numFmtId="0" fontId="2" fillId="35" borderId="36" xfId="67" applyFont="1" applyFill="1" applyBorder="1" applyAlignment="1" applyProtection="1">
      <alignment vertical="center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2" fontId="2" fillId="34" borderId="83" xfId="67" applyNumberFormat="1" applyFont="1" applyFill="1" applyBorder="1" applyAlignment="1" applyProtection="1">
      <alignment vertical="center"/>
      <protection/>
    </xf>
    <xf numFmtId="2" fontId="2" fillId="34" borderId="55" xfId="67" applyNumberFormat="1" applyFont="1" applyFill="1" applyBorder="1" applyAlignment="1" applyProtection="1">
      <alignment vertical="center"/>
      <protection/>
    </xf>
    <xf numFmtId="2" fontId="2" fillId="34" borderId="25" xfId="67" applyNumberFormat="1" applyFont="1" applyFill="1" applyBorder="1" applyAlignment="1" applyProtection="1">
      <alignment vertical="center"/>
      <protection/>
    </xf>
    <xf numFmtId="2" fontId="3" fillId="34" borderId="25" xfId="67" applyNumberFormat="1" applyFont="1" applyFill="1" applyBorder="1" applyAlignment="1" applyProtection="1">
      <alignment vertical="center"/>
      <protection/>
    </xf>
    <xf numFmtId="2" fontId="2" fillId="34" borderId="72" xfId="67" applyNumberFormat="1" applyFont="1" applyFill="1" applyBorder="1" applyAlignment="1" applyProtection="1">
      <alignment vertical="center"/>
      <protection/>
    </xf>
    <xf numFmtId="2" fontId="2" fillId="34" borderId="17" xfId="67" applyNumberFormat="1" applyFont="1" applyFill="1" applyBorder="1" applyAlignment="1" applyProtection="1">
      <alignment vertical="center"/>
      <protection/>
    </xf>
    <xf numFmtId="2" fontId="2" fillId="28" borderId="14" xfId="67" applyNumberFormat="1" applyFont="1" applyFill="1" applyBorder="1" applyAlignment="1" applyProtection="1">
      <alignment vertical="center"/>
      <protection locked="0"/>
    </xf>
    <xf numFmtId="2" fontId="2" fillId="34" borderId="14" xfId="67" applyNumberFormat="1" applyFont="1" applyFill="1" applyBorder="1" applyAlignment="1" applyProtection="1">
      <alignment vertical="center"/>
      <protection/>
    </xf>
    <xf numFmtId="2" fontId="3" fillId="28" borderId="14" xfId="67" applyNumberFormat="1" applyFont="1" applyFill="1" applyBorder="1" applyAlignment="1" applyProtection="1">
      <alignment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2" fontId="2" fillId="34" borderId="75" xfId="67" applyNumberFormat="1" applyFont="1" applyFill="1" applyBorder="1" applyAlignment="1" applyProtection="1">
      <alignment vertical="center"/>
      <protection/>
    </xf>
    <xf numFmtId="2" fontId="2" fillId="34" borderId="32" xfId="67" applyNumberFormat="1" applyFont="1" applyFill="1" applyBorder="1" applyAlignment="1" applyProtection="1">
      <alignment vertical="center"/>
      <protection/>
    </xf>
    <xf numFmtId="2" fontId="2" fillId="34" borderId="24" xfId="67" applyNumberFormat="1" applyFont="1" applyFill="1" applyBorder="1" applyAlignment="1" applyProtection="1">
      <alignment vertical="center"/>
      <protection/>
    </xf>
    <xf numFmtId="2" fontId="2" fillId="28" borderId="24" xfId="67" applyNumberFormat="1" applyFont="1" applyFill="1" applyBorder="1" applyAlignment="1" applyProtection="1">
      <alignment vertical="center"/>
      <protection locked="0"/>
    </xf>
    <xf numFmtId="2" fontId="3" fillId="34" borderId="24" xfId="67" applyNumberFormat="1" applyFont="1" applyFill="1" applyBorder="1" applyAlignment="1" applyProtection="1">
      <alignment vertical="center"/>
      <protection/>
    </xf>
    <xf numFmtId="2" fontId="3" fillId="34" borderId="14" xfId="6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188" fontId="2" fillId="28" borderId="7" xfId="0" applyNumberFormat="1" applyFont="1" applyFill="1" applyBorder="1" applyAlignment="1" applyProtection="1">
      <alignment vertical="center" wrapText="1"/>
      <protection locked="0"/>
    </xf>
    <xf numFmtId="0" fontId="2" fillId="28" borderId="21" xfId="0" applyFont="1" applyFill="1" applyBorder="1" applyAlignment="1" applyProtection="1">
      <alignment horizontal="center" vertical="center" wrapText="1"/>
      <protection locked="0"/>
    </xf>
    <xf numFmtId="2" fontId="2" fillId="28" borderId="14" xfId="61" applyNumberFormat="1" applyFont="1" applyFill="1" applyBorder="1" applyAlignment="1" applyProtection="1">
      <alignment horizontal="center" vertical="center" wrapText="1"/>
      <protection locked="0"/>
    </xf>
    <xf numFmtId="0" fontId="0" fillId="28" borderId="7" xfId="0" applyFont="1" applyFill="1" applyBorder="1" applyAlignment="1" applyProtection="1">
      <alignment horizontal="center" vertical="center"/>
      <protection locked="0"/>
    </xf>
    <xf numFmtId="0" fontId="40" fillId="0" borderId="0" xfId="45" applyFont="1" applyAlignment="1">
      <alignment vertical="center"/>
    </xf>
    <xf numFmtId="0" fontId="83" fillId="0" borderId="0" xfId="45" applyFont="1" applyAlignment="1">
      <alignment vertical="center"/>
    </xf>
    <xf numFmtId="2" fontId="10" fillId="28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0" applyNumberFormat="1" applyFont="1" applyAlignment="1">
      <alignment horizontal="right" vertical="top"/>
      <protection/>
    </xf>
    <xf numFmtId="0" fontId="0" fillId="0" borderId="44" xfId="0" applyFont="1" applyFill="1" applyBorder="1" applyAlignment="1" applyProtection="1">
      <alignment horizontal="left" vertical="center" wrapText="1" indent="1"/>
      <protection/>
    </xf>
    <xf numFmtId="0" fontId="2" fillId="0" borderId="62" xfId="0" applyFont="1" applyFill="1" applyBorder="1" applyAlignment="1" applyProtection="1">
      <alignment horizontal="left" vertical="center" wrapText="1" indent="1"/>
      <protection/>
    </xf>
    <xf numFmtId="0" fontId="3" fillId="0" borderId="0" xfId="69" applyNumberFormat="1" applyFont="1" applyFill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 applyProtection="1">
      <alignment horizontal="left" vertical="center" indent="3"/>
      <protection/>
    </xf>
    <xf numFmtId="0" fontId="0" fillId="0" borderId="7" xfId="0" applyFont="1" applyFill="1" applyBorder="1" applyAlignment="1" applyProtection="1">
      <alignment horizontal="left" vertical="center" indent="3"/>
      <protection/>
    </xf>
    <xf numFmtId="0" fontId="0" fillId="0" borderId="15" xfId="0" applyFont="1" applyFill="1" applyBorder="1" applyAlignment="1" applyProtection="1">
      <alignment horizontal="left" vertical="center" indent="3"/>
      <protection/>
    </xf>
    <xf numFmtId="0" fontId="0" fillId="0" borderId="16" xfId="0" applyFont="1" applyFill="1" applyBorder="1" applyAlignment="1" applyProtection="1">
      <alignment horizontal="left" vertical="center" indent="3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60" applyNumberFormat="1" applyFont="1" applyAlignment="1">
      <alignment horizontal="center"/>
      <protection/>
    </xf>
    <xf numFmtId="0" fontId="24" fillId="0" borderId="0" xfId="60" applyNumberFormat="1" applyFont="1" applyFill="1" applyAlignment="1" applyProtection="1">
      <alignment horizontal="center"/>
      <protection/>
    </xf>
    <xf numFmtId="0" fontId="25" fillId="0" borderId="0" xfId="60" applyNumberFormat="1" applyFont="1" applyFill="1" applyBorder="1" applyAlignment="1" applyProtection="1">
      <alignment horizontal="left" vertical="center" wrapText="1"/>
      <protection/>
    </xf>
    <xf numFmtId="0" fontId="24" fillId="0" borderId="0" xfId="60" applyNumberFormat="1" applyFont="1" applyFill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60" applyNumberFormat="1" applyFont="1" applyAlignment="1">
      <alignment horizontal="center" vertical="top"/>
      <protection/>
    </xf>
    <xf numFmtId="0" fontId="23" fillId="0" borderId="0" xfId="60" applyNumberFormat="1" applyFont="1" applyFill="1" applyAlignment="1" applyProtection="1">
      <alignment horizontal="left"/>
      <protection/>
    </xf>
    <xf numFmtId="0" fontId="25" fillId="0" borderId="0" xfId="60" applyNumberFormat="1" applyFont="1" applyAlignment="1">
      <alignment horizontal="left"/>
      <protection/>
    </xf>
    <xf numFmtId="0" fontId="25" fillId="0" borderId="0" xfId="60" applyNumberFormat="1" applyFont="1" applyAlignment="1">
      <alignment horizontal="left" wrapText="1"/>
      <protection/>
    </xf>
    <xf numFmtId="0" fontId="22" fillId="0" borderId="0" xfId="60" applyNumberFormat="1" applyFont="1" applyAlignment="1">
      <alignment horizontal="center"/>
      <protection/>
    </xf>
    <xf numFmtId="0" fontId="23" fillId="0" borderId="0" xfId="60" applyNumberFormat="1" applyFont="1" applyAlignment="1">
      <alignment horizontal="left"/>
      <protection/>
    </xf>
    <xf numFmtId="0" fontId="25" fillId="0" borderId="0" xfId="60" applyNumberFormat="1" applyFont="1" applyFill="1" applyAlignment="1" applyProtection="1">
      <alignment horizontal="center"/>
      <protection/>
    </xf>
    <xf numFmtId="0" fontId="22" fillId="0" borderId="0" xfId="60" applyNumberFormat="1" applyFont="1" applyFill="1" applyAlignment="1" applyProtection="1">
      <alignment horizontal="center"/>
      <protection/>
    </xf>
    <xf numFmtId="0" fontId="25" fillId="0" borderId="0" xfId="60" applyNumberFormat="1" applyFont="1" applyAlignment="1">
      <alignment horizontal="center" vertical="top"/>
      <protection/>
    </xf>
    <xf numFmtId="0" fontId="22" fillId="0" borderId="0" xfId="60" applyNumberFormat="1" applyFont="1" applyAlignment="1">
      <alignment horizontal="left"/>
      <protection/>
    </xf>
    <xf numFmtId="0" fontId="23" fillId="0" borderId="0" xfId="60" applyNumberFormat="1" applyFont="1" applyAlignment="1">
      <alignment horizontal="center" wrapText="1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2" xfId="61" applyNumberFormat="1" applyFont="1" applyBorder="1" applyAlignment="1" applyProtection="1">
      <alignment horizontal="center" vertical="center"/>
      <protection/>
    </xf>
    <xf numFmtId="49" fontId="2" fillId="0" borderId="35" xfId="61" applyNumberFormat="1" applyFont="1" applyBorder="1" applyAlignment="1" applyProtection="1">
      <alignment horizontal="center" vertical="center"/>
      <protection/>
    </xf>
    <xf numFmtId="49" fontId="33" fillId="37" borderId="36" xfId="0" applyNumberFormat="1" applyFont="1" applyFill="1" applyBorder="1" applyAlignment="1" applyProtection="1">
      <alignment horizontal="left" vertical="center"/>
      <protection/>
    </xf>
    <xf numFmtId="49" fontId="33" fillId="37" borderId="37" xfId="0" applyNumberFormat="1" applyFont="1" applyFill="1" applyBorder="1" applyAlignment="1" applyProtection="1">
      <alignment horizontal="left" vertical="center"/>
      <protection/>
    </xf>
    <xf numFmtId="49" fontId="33" fillId="37" borderId="39" xfId="0" applyNumberFormat="1" applyFont="1" applyFill="1" applyBorder="1" applyAlignment="1" applyProtection="1">
      <alignment horizontal="left" vertical="center"/>
      <protection/>
    </xf>
    <xf numFmtId="0" fontId="21" fillId="0" borderId="0" xfId="61" applyFont="1" applyAlignment="1" applyProtection="1">
      <alignment horizontal="center" vertical="center"/>
      <protection/>
    </xf>
    <xf numFmtId="0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27" xfId="61" applyNumberFormat="1" applyFont="1" applyBorder="1" applyAlignment="1" applyProtection="1">
      <alignment horizontal="center" vertical="center" wrapText="1"/>
      <protection/>
    </xf>
    <xf numFmtId="0" fontId="3" fillId="0" borderId="28" xfId="61" applyNumberFormat="1" applyFont="1" applyBorder="1" applyAlignment="1" applyProtection="1">
      <alignment horizontal="center" vertical="center" wrapText="1"/>
      <protection/>
    </xf>
    <xf numFmtId="0" fontId="3" fillId="0" borderId="26" xfId="61" applyNumberFormat="1" applyFont="1" applyBorder="1" applyAlignment="1" applyProtection="1">
      <alignment horizontal="center" vertical="center"/>
      <protection/>
    </xf>
    <xf numFmtId="0" fontId="3" fillId="0" borderId="27" xfId="61" applyNumberFormat="1" applyFont="1" applyBorder="1" applyAlignment="1" applyProtection="1">
      <alignment horizontal="center" vertical="center"/>
      <protection/>
    </xf>
    <xf numFmtId="0" fontId="3" fillId="0" borderId="28" xfId="61" applyNumberFormat="1" applyFont="1" applyBorder="1" applyAlignment="1" applyProtection="1">
      <alignment horizontal="center" vertical="center"/>
      <protection/>
    </xf>
    <xf numFmtId="49" fontId="10" fillId="0" borderId="26" xfId="61" applyNumberFormat="1" applyFont="1" applyBorder="1" applyAlignment="1" applyProtection="1">
      <alignment horizontal="center" vertical="center"/>
      <protection/>
    </xf>
    <xf numFmtId="0" fontId="10" fillId="0" borderId="27" xfId="61" applyNumberFormat="1" applyFont="1" applyBorder="1" applyAlignment="1" applyProtection="1">
      <alignment horizontal="center" vertical="center"/>
      <protection/>
    </xf>
    <xf numFmtId="0" fontId="10" fillId="0" borderId="28" xfId="61" applyNumberFormat="1" applyFont="1" applyBorder="1" applyAlignment="1" applyProtection="1">
      <alignment horizontal="center" vertical="center"/>
      <protection/>
    </xf>
    <xf numFmtId="0" fontId="2" fillId="0" borderId="84" xfId="61" applyNumberFormat="1" applyFont="1" applyBorder="1" applyAlignment="1" applyProtection="1">
      <alignment horizontal="center" vertical="center"/>
      <protection/>
    </xf>
    <xf numFmtId="0" fontId="2" fillId="0" borderId="56" xfId="61" applyNumberFormat="1" applyFont="1" applyBorder="1" applyAlignment="1" applyProtection="1">
      <alignment horizontal="center" vertical="center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10" fillId="0" borderId="85" xfId="61" applyFont="1" applyBorder="1" applyAlignment="1" applyProtection="1">
      <alignment horizontal="center" vertical="center" wrapText="1"/>
      <protection/>
    </xf>
    <xf numFmtId="0" fontId="10" fillId="0" borderId="32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49" fontId="2" fillId="0" borderId="12" xfId="61" applyNumberFormat="1" applyFont="1" applyBorder="1" applyAlignment="1" applyProtection="1">
      <alignment horizontal="center" vertical="center" wrapText="1"/>
      <protection/>
    </xf>
    <xf numFmtId="49" fontId="2" fillId="0" borderId="35" xfId="61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4" fillId="37" borderId="38" xfId="0" applyNumberFormat="1" applyFont="1" applyFill="1" applyBorder="1" applyAlignment="1" applyProtection="1">
      <alignment horizontal="left" vertical="center"/>
      <protection/>
    </xf>
    <xf numFmtId="49" fontId="4" fillId="37" borderId="37" xfId="0" applyNumberFormat="1" applyFont="1" applyFill="1" applyBorder="1" applyAlignment="1" applyProtection="1">
      <alignment horizontal="left" vertical="center"/>
      <protection/>
    </xf>
    <xf numFmtId="49" fontId="4" fillId="37" borderId="39" xfId="0" applyNumberFormat="1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vertical="center" wrapText="1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86" xfId="0" applyFont="1" applyBorder="1" applyAlignment="1" applyProtection="1">
      <alignment vertical="center" wrapText="1"/>
      <protection/>
    </xf>
    <xf numFmtId="0" fontId="2" fillId="0" borderId="86" xfId="0" applyFont="1" applyBorder="1" applyAlignment="1" applyProtection="1">
      <alignment vertical="center"/>
      <protection/>
    </xf>
    <xf numFmtId="0" fontId="2" fillId="0" borderId="87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vertical="center" wrapText="1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83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69" xfId="0" applyFont="1" applyBorder="1" applyAlignment="1" applyProtection="1">
      <alignment vertical="center" wrapText="1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9" fontId="20" fillId="0" borderId="0" xfId="71" applyFont="1" applyBorder="1" applyAlignment="1" applyProtection="1">
      <alignment horizontal="center" vertical="center" wrapText="1"/>
      <protection/>
    </xf>
    <xf numFmtId="49" fontId="2" fillId="28" borderId="0" xfId="7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28" fillId="0" borderId="84" xfId="0" applyNumberFormat="1" applyFont="1" applyBorder="1" applyAlignment="1">
      <alignment horizontal="center" vertical="center"/>
    </xf>
    <xf numFmtId="0" fontId="28" fillId="0" borderId="64" xfId="0" applyNumberFormat="1" applyFont="1" applyBorder="1" applyAlignment="1">
      <alignment horizontal="center" vertical="center"/>
    </xf>
    <xf numFmtId="49" fontId="4" fillId="37" borderId="34" xfId="0" applyNumberFormat="1" applyFont="1" applyFill="1" applyBorder="1" applyAlignment="1" applyProtection="1">
      <alignment horizontal="left" vertical="center"/>
      <protection/>
    </xf>
    <xf numFmtId="49" fontId="4" fillId="37" borderId="59" xfId="0" applyNumberFormat="1" applyFont="1" applyFill="1" applyBorder="1" applyAlignment="1" applyProtection="1">
      <alignment horizontal="left" vertical="center"/>
      <protection/>
    </xf>
    <xf numFmtId="49" fontId="4" fillId="37" borderId="50" xfId="0" applyNumberFormat="1" applyFont="1" applyFill="1" applyBorder="1" applyAlignment="1" applyProtection="1">
      <alignment horizontal="left" vertical="center"/>
      <protection/>
    </xf>
    <xf numFmtId="0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88" xfId="0" applyNumberFormat="1" applyFont="1" applyFill="1" applyBorder="1" applyAlignment="1" applyProtection="1">
      <alignment horizontal="center" vertical="center" wrapText="1"/>
      <protection/>
    </xf>
    <xf numFmtId="0" fontId="2" fillId="0" borderId="7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49" fontId="20" fillId="0" borderId="86" xfId="71" applyFont="1" applyBorder="1" applyAlignment="1" applyProtection="1">
      <alignment horizontal="center" vertical="center" wrapText="1"/>
      <protection/>
    </xf>
    <xf numFmtId="49" fontId="2" fillId="28" borderId="38" xfId="71" applyFont="1" applyFill="1" applyBorder="1" applyAlignment="1" applyProtection="1">
      <alignment horizontal="left" vertical="center" wrapText="1"/>
      <protection locked="0"/>
    </xf>
    <xf numFmtId="0" fontId="2" fillId="0" borderId="8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4" fillId="37" borderId="36" xfId="0" applyNumberFormat="1" applyFont="1" applyFill="1" applyBorder="1" applyAlignment="1" applyProtection="1">
      <alignment horizontal="left" vertical="center"/>
      <protection/>
    </xf>
    <xf numFmtId="49" fontId="4" fillId="37" borderId="67" xfId="0" applyNumberFormat="1" applyFont="1" applyFill="1" applyBorder="1" applyAlignment="1" applyProtection="1">
      <alignment horizontal="left" vertical="center"/>
      <protection/>
    </xf>
    <xf numFmtId="49" fontId="4" fillId="37" borderId="40" xfId="0" applyNumberFormat="1" applyFont="1" applyFill="1" applyBorder="1" applyAlignment="1" applyProtection="1">
      <alignment horizontal="left" vertical="center"/>
      <protection/>
    </xf>
    <xf numFmtId="0" fontId="41" fillId="0" borderId="3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71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49" fontId="3" fillId="0" borderId="84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2" fontId="3" fillId="28" borderId="26" xfId="0" applyNumberFormat="1" applyFont="1" applyFill="1" applyBorder="1" applyAlignment="1" applyProtection="1">
      <alignment horizontal="left" vertical="center" wrapText="1"/>
      <protection locked="0"/>
    </xf>
    <xf numFmtId="2" fontId="3" fillId="28" borderId="27" xfId="0" applyNumberFormat="1" applyFont="1" applyFill="1" applyBorder="1" applyAlignment="1" applyProtection="1">
      <alignment horizontal="left" vertical="center" wrapText="1"/>
      <protection locked="0"/>
    </xf>
    <xf numFmtId="2" fontId="3" fillId="28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9" fontId="5" fillId="0" borderId="84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28" borderId="26" xfId="0" applyFont="1" applyFill="1" applyBorder="1" applyAlignment="1" applyProtection="1">
      <alignment horizontal="left" vertical="center"/>
      <protection locked="0"/>
    </xf>
    <xf numFmtId="0" fontId="2" fillId="28" borderId="27" xfId="0" applyFont="1" applyFill="1" applyBorder="1" applyAlignment="1" applyProtection="1">
      <alignment horizontal="left" vertical="center"/>
      <protection locked="0"/>
    </xf>
    <xf numFmtId="0" fontId="2" fillId="28" borderId="28" xfId="0" applyFont="1" applyFill="1" applyBorder="1" applyAlignment="1" applyProtection="1">
      <alignment horizontal="left" vertical="center"/>
      <protection locked="0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8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0" fillId="28" borderId="38" xfId="71" applyFont="1" applyFill="1" applyBorder="1" applyAlignment="1" applyProtection="1">
      <alignment horizontal="left" vertical="center" wrapText="1"/>
      <protection locked="0"/>
    </xf>
    <xf numFmtId="49" fontId="17" fillId="37" borderId="36" xfId="0" applyNumberFormat="1" applyFont="1" applyFill="1" applyBorder="1" applyAlignment="1" applyProtection="1">
      <alignment horizontal="left" vertical="center"/>
      <protection/>
    </xf>
    <xf numFmtId="49" fontId="17" fillId="37" borderId="37" xfId="0" applyNumberFormat="1" applyFont="1" applyFill="1" applyBorder="1" applyAlignment="1" applyProtection="1">
      <alignment horizontal="left" vertical="center"/>
      <protection/>
    </xf>
    <xf numFmtId="49" fontId="17" fillId="37" borderId="39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0" fillId="28" borderId="0" xfId="7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37" borderId="7" xfId="0" applyNumberFormat="1" applyFont="1" applyFill="1" applyBorder="1" applyAlignment="1" applyProtection="1">
      <alignment horizontal="left" vertical="center"/>
      <protection/>
    </xf>
    <xf numFmtId="0" fontId="2" fillId="0" borderId="7" xfId="0" applyFont="1" applyBorder="1" applyAlignment="1">
      <alignment horizontal="center" wrapText="1"/>
    </xf>
    <xf numFmtId="49" fontId="17" fillId="37" borderId="7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17" fillId="37" borderId="24" xfId="0" applyNumberFormat="1" applyFont="1" applyFill="1" applyBorder="1" applyAlignment="1" applyProtection="1">
      <alignment horizontal="left" vertical="center"/>
      <protection/>
    </xf>
    <xf numFmtId="49" fontId="17" fillId="37" borderId="27" xfId="0" applyNumberFormat="1" applyFont="1" applyFill="1" applyBorder="1" applyAlignment="1" applyProtection="1">
      <alignment horizontal="left" vertical="center"/>
      <protection/>
    </xf>
    <xf numFmtId="49" fontId="17" fillId="37" borderId="25" xfId="0" applyNumberFormat="1" applyFont="1" applyFill="1" applyBorder="1" applyAlignment="1" applyProtection="1">
      <alignment horizontal="left" vertical="center"/>
      <protection/>
    </xf>
    <xf numFmtId="0" fontId="3" fillId="0" borderId="7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textRotation="90" wrapText="1"/>
      <protection/>
    </xf>
    <xf numFmtId="0" fontId="3" fillId="0" borderId="24" xfId="0" applyFont="1" applyFill="1" applyBorder="1" applyAlignment="1" applyProtection="1">
      <alignment horizontal="center" vertical="center" textRotation="90" wrapText="1"/>
      <protection/>
    </xf>
    <xf numFmtId="2" fontId="2" fillId="0" borderId="9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Border="1" applyAlignment="1">
      <alignment vertical="center" wrapText="1"/>
    </xf>
    <xf numFmtId="2" fontId="0" fillId="0" borderId="93" xfId="0" applyNumberFormat="1" applyBorder="1" applyAlignment="1">
      <alignment vertical="center" wrapText="1"/>
    </xf>
    <xf numFmtId="2" fontId="0" fillId="0" borderId="92" xfId="0" applyNumberFormat="1" applyBorder="1" applyAlignment="1">
      <alignment vertical="center" wrapText="1"/>
    </xf>
    <xf numFmtId="2" fontId="0" fillId="0" borderId="32" xfId="0" applyNumberFormat="1" applyBorder="1" applyAlignment="1">
      <alignment vertical="center" wrapText="1"/>
    </xf>
    <xf numFmtId="2" fontId="0" fillId="0" borderId="33" xfId="0" applyNumberFormat="1" applyBorder="1" applyAlignment="1">
      <alignment vertical="center" wrapText="1"/>
    </xf>
    <xf numFmtId="2" fontId="0" fillId="0" borderId="55" xfId="0" applyNumberFormat="1" applyBorder="1" applyAlignment="1">
      <alignment vertical="center" wrapText="1"/>
    </xf>
    <xf numFmtId="2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69" xfId="0" applyNumberFormat="1" applyBorder="1" applyAlignment="1">
      <alignment vertical="center" wrapText="1"/>
    </xf>
    <xf numFmtId="2" fontId="0" fillId="0" borderId="76" xfId="0" applyNumberFormat="1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0" borderId="7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49" fontId="17" fillId="37" borderId="47" xfId="0" applyNumberFormat="1" applyFont="1" applyFill="1" applyBorder="1" applyAlignment="1" applyProtection="1">
      <alignment horizontal="left" vertical="center"/>
      <protection/>
    </xf>
    <xf numFmtId="49" fontId="17" fillId="37" borderId="69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62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25" xfId="0" applyNumberFormat="1" applyFont="1" applyFill="1" applyBorder="1" applyAlignment="1" applyProtection="1">
      <alignment horizontal="center" vertical="center" wrapText="1"/>
      <protection/>
    </xf>
    <xf numFmtId="2" fontId="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9" xfId="0" applyFont="1" applyFill="1" applyBorder="1" applyAlignment="1">
      <alignment horizontal="right" vertical="center" wrapText="1" indent="1"/>
    </xf>
    <xf numFmtId="0" fontId="0" fillId="0" borderId="27" xfId="0" applyFont="1" applyFill="1" applyBorder="1" applyAlignment="1">
      <alignment horizontal="right" vertical="center" wrapText="1" indent="1"/>
    </xf>
    <xf numFmtId="0" fontId="0" fillId="0" borderId="28" xfId="0" applyFont="1" applyFill="1" applyBorder="1" applyAlignment="1">
      <alignment horizontal="right" vertical="center" wrapText="1" indent="1"/>
    </xf>
    <xf numFmtId="2" fontId="2" fillId="0" borderId="26" xfId="0" applyNumberFormat="1" applyFont="1" applyFill="1" applyBorder="1" applyAlignment="1" applyProtection="1">
      <alignment horizontal="right" vertical="center" wrapText="1" indent="1"/>
      <protection/>
    </xf>
    <xf numFmtId="2" fontId="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Border="1" applyAlignment="1">
      <alignment horizontal="right" vertical="center" wrapText="1" indent="1"/>
    </xf>
    <xf numFmtId="0" fontId="0" fillId="0" borderId="28" xfId="0" applyFont="1" applyBorder="1" applyAlignment="1">
      <alignment horizontal="right" vertical="center" wrapText="1" indent="1"/>
    </xf>
    <xf numFmtId="0" fontId="2" fillId="0" borderId="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2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2" fontId="2" fillId="34" borderId="36" xfId="0" applyNumberFormat="1" applyFont="1" applyFill="1" applyBorder="1" applyAlignment="1" applyProtection="1">
      <alignment horizontal="center" vertical="center"/>
      <protection/>
    </xf>
    <xf numFmtId="2" fontId="2" fillId="34" borderId="39" xfId="0" applyNumberFormat="1" applyFont="1" applyFill="1" applyBorder="1" applyAlignment="1" applyProtection="1">
      <alignment horizontal="center" vertical="center"/>
      <protection/>
    </xf>
    <xf numFmtId="2" fontId="2" fillId="34" borderId="26" xfId="0" applyNumberFormat="1" applyFont="1" applyFill="1" applyBorder="1" applyAlignment="1" applyProtection="1">
      <alignment horizontal="center" vertical="center"/>
      <protection/>
    </xf>
    <xf numFmtId="2" fontId="2" fillId="34" borderId="28" xfId="0" applyNumberFormat="1" applyFont="1" applyFill="1" applyBorder="1" applyAlignment="1" applyProtection="1">
      <alignment horizontal="center" vertical="center"/>
      <protection/>
    </xf>
    <xf numFmtId="2" fontId="2" fillId="34" borderId="26" xfId="67" applyNumberFormat="1" applyFont="1" applyFill="1" applyBorder="1" applyAlignment="1" applyProtection="1">
      <alignment horizontal="center" vertical="center"/>
      <protection/>
    </xf>
    <xf numFmtId="2" fontId="2" fillId="34" borderId="28" xfId="67" applyNumberFormat="1" applyFont="1" applyFill="1" applyBorder="1" applyAlignment="1" applyProtection="1">
      <alignment horizontal="center" vertical="center"/>
      <protection/>
    </xf>
    <xf numFmtId="2" fontId="2" fillId="34" borderId="27" xfId="67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2" fontId="2" fillId="34" borderId="36" xfId="67" applyNumberFormat="1" applyFont="1" applyFill="1" applyBorder="1" applyAlignment="1" applyProtection="1">
      <alignment horizontal="center" vertical="center"/>
      <protection/>
    </xf>
    <xf numFmtId="2" fontId="2" fillId="34" borderId="39" xfId="67" applyNumberFormat="1" applyFont="1" applyFill="1" applyBorder="1" applyAlignment="1" applyProtection="1">
      <alignment horizontal="center" vertical="center"/>
      <protection/>
    </xf>
    <xf numFmtId="2" fontId="2" fillId="34" borderId="37" xfId="67" applyNumberFormat="1" applyFont="1" applyFill="1" applyBorder="1" applyAlignment="1" applyProtection="1">
      <alignment horizontal="center" vertical="center"/>
      <protection/>
    </xf>
    <xf numFmtId="0" fontId="42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88" xfId="67" applyFont="1" applyFill="1" applyBorder="1" applyAlignment="1" applyProtection="1">
      <alignment horizontal="center" vertical="center" wrapText="1"/>
      <protection/>
    </xf>
    <xf numFmtId="0" fontId="2" fillId="0" borderId="40" xfId="67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Заголовок слева" xfId="53"/>
    <cellStyle name="ЗаголовокСтолбца" xfId="54"/>
    <cellStyle name="Значение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3 2" xfId="62"/>
    <cellStyle name="Обычный 3 3" xfId="63"/>
    <cellStyle name="Обычный 4" xfId="64"/>
    <cellStyle name="Обычный 4 3" xfId="65"/>
    <cellStyle name="Обычный 5" xfId="66"/>
    <cellStyle name="Обычный 6" xfId="67"/>
    <cellStyle name="Обычный_14.06.06" xfId="68"/>
    <cellStyle name="Обычный_FORM4.2013(v1.1)" xfId="69"/>
    <cellStyle name="Обычный_PSK_WT_2010" xfId="70"/>
    <cellStyle name="Обычный_Методика в ред ЕИС ver.1 " xfId="71"/>
    <cellStyle name="Обычный_теплотариф2008" xfId="72"/>
    <cellStyle name="Followed Hyperlink" xfId="73"/>
    <cellStyle name="Плохой" xfId="74"/>
    <cellStyle name="Пояснение" xfId="75"/>
    <cellStyle name="Прим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8515625" style="27" customWidth="1"/>
    <col min="2" max="2" width="18.8515625" style="27" customWidth="1"/>
    <col min="3" max="3" width="14.8515625" style="27" customWidth="1"/>
    <col min="4" max="4" width="21.7109375" style="27" customWidth="1"/>
    <col min="5" max="5" width="21.8515625" style="27" customWidth="1"/>
    <col min="6" max="6" width="16.140625" style="27" customWidth="1"/>
    <col min="7" max="7" width="26.421875" style="27" customWidth="1"/>
    <col min="8" max="16384" width="9.140625" style="27" customWidth="1"/>
  </cols>
  <sheetData>
    <row r="1" spans="1:7" ht="41.25" customHeight="1">
      <c r="A1" s="807" t="s">
        <v>94</v>
      </c>
      <c r="B1" s="807"/>
      <c r="C1" s="807"/>
      <c r="D1" s="807"/>
      <c r="E1" s="807"/>
      <c r="F1" s="807"/>
      <c r="G1" s="807"/>
    </row>
    <row r="2" spans="1:7" ht="34.5" customHeight="1">
      <c r="A2" s="28" t="s">
        <v>104</v>
      </c>
      <c r="B2" s="808" t="str">
        <f>org</f>
        <v>Муниципальное предприятие по эксплуатации систем водоснабжения и водоотведения "Водоканал" г.Великие Луки</v>
      </c>
      <c r="C2" s="809"/>
      <c r="D2" s="809"/>
      <c r="E2" s="809"/>
      <c r="F2" s="809"/>
      <c r="G2" s="809"/>
    </row>
    <row r="3" spans="1:7" ht="45" customHeight="1">
      <c r="A3" s="28" t="s">
        <v>95</v>
      </c>
      <c r="B3" s="808" t="str">
        <f>анкета!C7</f>
        <v>182113, Россия, Псковская область, г.Великие Луки, пер.Водопроводный, дом 10</v>
      </c>
      <c r="C3" s="809"/>
      <c r="D3" s="809"/>
      <c r="E3" s="809"/>
      <c r="F3" s="809"/>
      <c r="G3" s="809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810" t="s">
        <v>96</v>
      </c>
      <c r="B5" s="810"/>
      <c r="C5" s="810"/>
      <c r="D5" s="810"/>
      <c r="E5" s="810"/>
      <c r="F5" s="810"/>
      <c r="G5" s="810"/>
    </row>
    <row r="6" spans="1:7" ht="51">
      <c r="A6" s="30" t="s">
        <v>97</v>
      </c>
      <c r="B6" s="30" t="s">
        <v>98</v>
      </c>
      <c r="C6" s="30" t="s">
        <v>99</v>
      </c>
      <c r="D6" s="30" t="s">
        <v>100</v>
      </c>
      <c r="E6" s="30" t="s">
        <v>101</v>
      </c>
      <c r="F6" s="30" t="s">
        <v>102</v>
      </c>
      <c r="G6" s="30" t="s">
        <v>103</v>
      </c>
    </row>
    <row r="7" spans="1:7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89.25">
      <c r="A8" s="28">
        <f>анкета!C18</f>
        <v>3297288</v>
      </c>
      <c r="B8" s="31" t="str">
        <f>анкета!C19</f>
        <v>36.00.2 - распределение воды для питьевых и промышленных нужд; 37.00 - сбор и обработка сточных вод</v>
      </c>
      <c r="C8" s="28">
        <f>анкета!C20</f>
        <v>90213</v>
      </c>
      <c r="D8" s="28">
        <f>анкета!C16</f>
        <v>58410000000</v>
      </c>
      <c r="E8" s="28">
        <f>анкета!C21</f>
        <v>49007</v>
      </c>
      <c r="F8" s="28">
        <f>анкета!C22</f>
        <v>42</v>
      </c>
      <c r="G8" s="28">
        <f>анкета!C23</f>
        <v>14</v>
      </c>
    </row>
    <row r="9" spans="1:7" ht="12.75">
      <c r="A9" s="29"/>
      <c r="B9" s="29"/>
      <c r="C9" s="29"/>
      <c r="D9" s="29"/>
      <c r="E9" s="29"/>
      <c r="F9" s="29"/>
      <c r="G9" s="29"/>
    </row>
    <row r="10" spans="1:7" ht="12.75">
      <c r="A10" s="805" t="str">
        <f>"Код шаблона: "&amp;getCode()</f>
        <v>Код шаблона: PSK.HVS.5Y</v>
      </c>
      <c r="B10" s="805"/>
      <c r="C10" s="805"/>
      <c r="D10" s="29"/>
      <c r="E10" s="29"/>
      <c r="F10" s="29"/>
      <c r="G10" s="29"/>
    </row>
    <row r="11" spans="1:7" ht="12.75">
      <c r="A11" s="212" t="str">
        <f>"Версия "&amp;GetVersion()</f>
        <v>Версия 19.5.01</v>
      </c>
      <c r="B11" s="213"/>
      <c r="C11" s="213"/>
      <c r="D11" s="29"/>
      <c r="E11" s="29"/>
      <c r="F11" s="29"/>
      <c r="G11" s="29"/>
    </row>
    <row r="12" spans="4:7" ht="12.75">
      <c r="D12" s="29"/>
      <c r="E12" s="29"/>
      <c r="F12" s="29"/>
      <c r="G12" s="29"/>
    </row>
    <row r="13" spans="1:7" ht="13.5" thickBot="1">
      <c r="A13" s="806" t="s">
        <v>493</v>
      </c>
      <c r="B13" s="806"/>
      <c r="C13" s="363" t="s">
        <v>430</v>
      </c>
      <c r="D13" s="29"/>
      <c r="E13" s="29"/>
      <c r="F13" s="29"/>
      <c r="G13" s="29"/>
    </row>
    <row r="14" spans="1:7" ht="27.75" customHeight="1">
      <c r="A14" s="811" t="s">
        <v>637</v>
      </c>
      <c r="B14" s="812"/>
      <c r="C14" s="357">
        <f>year1-2</f>
        <v>2017</v>
      </c>
      <c r="D14" s="218"/>
      <c r="E14" s="29"/>
      <c r="F14" s="29"/>
      <c r="G14" s="29"/>
    </row>
    <row r="15" spans="1:7" ht="30" customHeight="1" thickBot="1">
      <c r="A15" s="803" t="s">
        <v>638</v>
      </c>
      <c r="B15" s="804"/>
      <c r="C15" s="358">
        <f>year1-1</f>
        <v>2018</v>
      </c>
      <c r="D15" s="218"/>
      <c r="E15" s="29"/>
      <c r="F15" s="29"/>
      <c r="G15" s="29"/>
    </row>
    <row r="16" spans="1:7" ht="20.25" customHeight="1">
      <c r="A16" s="811" t="s">
        <v>639</v>
      </c>
      <c r="B16" s="812"/>
      <c r="C16" s="359" t="str">
        <f>year1&amp;"-"&amp;year5</f>
        <v>2019-2023</v>
      </c>
      <c r="D16" s="817" t="s">
        <v>555</v>
      </c>
      <c r="E16" s="818"/>
      <c r="F16" s="29"/>
      <c r="G16" s="29"/>
    </row>
    <row r="17" spans="1:7" ht="12.75">
      <c r="A17" s="813" t="s">
        <v>431</v>
      </c>
      <c r="B17" s="814"/>
      <c r="C17" s="360" t="s">
        <v>490</v>
      </c>
      <c r="D17" s="369" t="str">
        <f>"01.01."&amp;year1&amp;"-30.06."&amp;year1</f>
        <v>01.01.2019-30.06.2019</v>
      </c>
      <c r="E17" s="370" t="str">
        <f>"01.07."&amp;year1&amp;"-31.12."&amp;year1</f>
        <v>01.07.2019-31.12.2019</v>
      </c>
      <c r="F17" s="29"/>
      <c r="G17" s="29"/>
    </row>
    <row r="18" spans="1:7" ht="12.75">
      <c r="A18" s="813" t="s">
        <v>432</v>
      </c>
      <c r="B18" s="814"/>
      <c r="C18" s="361">
        <f>year1+1</f>
        <v>2020</v>
      </c>
      <c r="D18" s="369" t="str">
        <f>"01.01."&amp;year2&amp;"-30.06."&amp;year2</f>
        <v>01.01.2020-30.06.2020</v>
      </c>
      <c r="E18" s="370" t="str">
        <f>"01.07."&amp;year2&amp;"-31.12."&amp;year2</f>
        <v>01.07.2020-31.12.2020</v>
      </c>
      <c r="F18" s="29"/>
      <c r="G18" s="29"/>
    </row>
    <row r="19" spans="1:7" ht="12.75">
      <c r="A19" s="813" t="s">
        <v>433</v>
      </c>
      <c r="B19" s="814"/>
      <c r="C19" s="361">
        <f>year1+2</f>
        <v>2021</v>
      </c>
      <c r="D19" s="369" t="str">
        <f>"01.01."&amp;year3&amp;"-30.06."&amp;year3</f>
        <v>01.01.2021-30.06.2021</v>
      </c>
      <c r="E19" s="370" t="str">
        <f>"01.07."&amp;year3&amp;"-31.12."&amp;year3</f>
        <v>01.07.2021-31.12.2021</v>
      </c>
      <c r="F19" s="29"/>
      <c r="G19" s="29"/>
    </row>
    <row r="20" spans="1:7" ht="12.75">
      <c r="A20" s="813" t="s">
        <v>640</v>
      </c>
      <c r="B20" s="814"/>
      <c r="C20" s="361">
        <f>year1+3</f>
        <v>2022</v>
      </c>
      <c r="D20" s="369" t="str">
        <f>"01.01."&amp;year4&amp;"-30.06."&amp;year4</f>
        <v>01.01.2022-30.06.2022</v>
      </c>
      <c r="E20" s="370" t="str">
        <f>"01.07."&amp;year4&amp;"-31.12."&amp;year4</f>
        <v>01.07.2022-31.12.2022</v>
      </c>
      <c r="F20" s="29"/>
      <c r="G20" s="29"/>
    </row>
    <row r="21" spans="1:7" ht="13.5" thickBot="1">
      <c r="A21" s="815" t="s">
        <v>489</v>
      </c>
      <c r="B21" s="816"/>
      <c r="C21" s="362">
        <f>year1+4</f>
        <v>2023</v>
      </c>
      <c r="D21" s="300" t="str">
        <f>"01.01."&amp;year5&amp;"-30.06."&amp;year5</f>
        <v>01.01.2023-30.06.2023</v>
      </c>
      <c r="E21" s="302" t="str">
        <f>"01.07."&amp;year5&amp;"-31.12."&amp;year5</f>
        <v>01.07.2023-31.12.2023</v>
      </c>
      <c r="F21" s="29"/>
      <c r="G21" s="29"/>
    </row>
    <row r="22" spans="4:7" ht="12.75">
      <c r="D22" s="29"/>
      <c r="E22" s="29"/>
      <c r="F22" s="29"/>
      <c r="G22" s="29"/>
    </row>
    <row r="23" spans="4:7" ht="12.75">
      <c r="D23" s="29"/>
      <c r="E23" s="29"/>
      <c r="F23" s="29"/>
      <c r="G23" s="29"/>
    </row>
    <row r="24" spans="4:7" ht="12.75">
      <c r="D24" s="29"/>
      <c r="E24" s="29"/>
      <c r="F24" s="29"/>
      <c r="G24" s="29"/>
    </row>
    <row r="25" spans="4:7" ht="12.75"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</sheetData>
  <sheetProtection formatCells="0" formatColumns="0" formatRows="0"/>
  <mergeCells count="15">
    <mergeCell ref="A19:B19"/>
    <mergeCell ref="A21:B21"/>
    <mergeCell ref="A20:B20"/>
    <mergeCell ref="D16:E16"/>
    <mergeCell ref="A16:B16"/>
    <mergeCell ref="A17:B17"/>
    <mergeCell ref="A18:B18"/>
    <mergeCell ref="A15:B15"/>
    <mergeCell ref="A10:C10"/>
    <mergeCell ref="A13:B13"/>
    <mergeCell ref="A1:G1"/>
    <mergeCell ref="B2:G2"/>
    <mergeCell ref="B3:G3"/>
    <mergeCell ref="A5:G5"/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_index">
    <tabColor rgb="FFFFC000"/>
  </sheetPr>
  <dimension ref="B1:M24"/>
  <sheetViews>
    <sheetView zoomScalePageLayoutView="0" workbookViewId="0" topLeftCell="B7">
      <selection activeCell="L18" sqref="L18"/>
    </sheetView>
  </sheetViews>
  <sheetFormatPr defaultColWidth="9.140625" defaultRowHeight="12.75"/>
  <cols>
    <col min="1" max="1" width="1.57421875" style="85" customWidth="1"/>
    <col min="2" max="2" width="4.57421875" style="611" customWidth="1"/>
    <col min="3" max="8" width="9.140625" style="85" customWidth="1"/>
    <col min="9" max="9" width="10.7109375" style="85" customWidth="1"/>
    <col min="10" max="10" width="21.421875" style="85" customWidth="1"/>
    <col min="11" max="11" width="20.140625" style="85" customWidth="1"/>
    <col min="12" max="12" width="20.57421875" style="85" customWidth="1"/>
    <col min="13" max="13" width="34.28125" style="85" customWidth="1"/>
  </cols>
  <sheetData>
    <row r="1" spans="3:12" ht="12.75">
      <c r="C1" s="904"/>
      <c r="D1" s="904"/>
      <c r="E1" s="904"/>
      <c r="F1" s="904"/>
      <c r="G1" s="904"/>
      <c r="H1" s="904"/>
      <c r="I1" s="904"/>
      <c r="J1" s="904"/>
      <c r="K1" s="904"/>
      <c r="L1" s="904"/>
    </row>
    <row r="3" spans="2:13" ht="15">
      <c r="B3" s="888" t="str">
        <f>"Расчет параметров расчета для определения индекса изменения количества активов"</f>
        <v>Расчет параметров расчета для определения индекса изменения количества активов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</row>
    <row r="4" spans="3:10" ht="15">
      <c r="C4" s="330"/>
      <c r="D4" s="330"/>
      <c r="E4" s="330"/>
      <c r="F4" s="330"/>
      <c r="G4" s="330"/>
      <c r="H4" s="330"/>
      <c r="I4" s="330"/>
      <c r="J4" s="330"/>
    </row>
    <row r="5" spans="3:10" ht="12.75">
      <c r="C5" s="331" t="s">
        <v>608</v>
      </c>
      <c r="D5" s="331"/>
      <c r="E5" s="331"/>
      <c r="F5" s="331"/>
      <c r="G5" s="331"/>
      <c r="H5" s="331"/>
      <c r="I5" s="331"/>
      <c r="J5" s="331"/>
    </row>
    <row r="6" spans="3:10" ht="12.75">
      <c r="C6" s="331" t="s">
        <v>609</v>
      </c>
      <c r="D6" s="331"/>
      <c r="E6" s="331"/>
      <c r="F6" s="331"/>
      <c r="G6" s="331"/>
      <c r="H6" s="331"/>
      <c r="I6" s="331"/>
      <c r="J6" s="331"/>
    </row>
    <row r="7" ht="13.5" thickBot="1"/>
    <row r="8" spans="2:13" ht="23.25" customHeight="1">
      <c r="B8" s="878"/>
      <c r="C8" s="906"/>
      <c r="D8" s="906"/>
      <c r="E8" s="906"/>
      <c r="F8" s="906"/>
      <c r="G8" s="906"/>
      <c r="H8" s="907"/>
      <c r="I8" s="884" t="s">
        <v>7</v>
      </c>
      <c r="J8" s="397">
        <f>factYear</f>
        <v>2017</v>
      </c>
      <c r="K8" s="911" t="s">
        <v>164</v>
      </c>
      <c r="L8" s="912"/>
      <c r="M8" s="350" t="s">
        <v>2</v>
      </c>
    </row>
    <row r="9" spans="2:13" ht="33" customHeight="1" thickBot="1">
      <c r="B9" s="905"/>
      <c r="C9" s="908"/>
      <c r="D9" s="908"/>
      <c r="E9" s="908"/>
      <c r="F9" s="908"/>
      <c r="G9" s="908"/>
      <c r="H9" s="909"/>
      <c r="I9" s="910"/>
      <c r="J9" s="339" t="s">
        <v>586</v>
      </c>
      <c r="K9" s="332" t="str">
        <f>currYear&amp;" год (ожидаемое)"</f>
        <v>2018 год (ожидаемое)</v>
      </c>
      <c r="L9" s="332" t="str">
        <f>year1</f>
        <v>2019</v>
      </c>
      <c r="M9" s="348" t="str">
        <f>year1</f>
        <v>2019</v>
      </c>
    </row>
    <row r="10" spans="2:13" ht="17.25" customHeight="1" thickBot="1">
      <c r="B10" s="612" t="s">
        <v>50</v>
      </c>
      <c r="C10" s="333" t="s">
        <v>610</v>
      </c>
      <c r="D10" s="333"/>
      <c r="E10" s="333"/>
      <c r="F10" s="333"/>
      <c r="G10" s="333"/>
      <c r="H10" s="333"/>
      <c r="I10" s="334"/>
      <c r="J10" s="335"/>
      <c r="K10" s="336"/>
      <c r="L10" s="336"/>
      <c r="M10" s="337"/>
    </row>
    <row r="11" spans="2:13" ht="46.5" customHeight="1" thickBot="1">
      <c r="B11" s="613" t="s">
        <v>10</v>
      </c>
      <c r="C11" s="895" t="s">
        <v>611</v>
      </c>
      <c r="D11" s="896"/>
      <c r="E11" s="896"/>
      <c r="F11" s="896"/>
      <c r="G11" s="896"/>
      <c r="H11" s="897"/>
      <c r="I11" s="338" t="s">
        <v>612</v>
      </c>
      <c r="J11" s="689">
        <f>'Усл.метры'!D8</f>
        <v>7427</v>
      </c>
      <c r="K11" s="689">
        <f>'Усл.метры'!G8</f>
        <v>7427</v>
      </c>
      <c r="L11" s="689">
        <f>'Усл.метры'!M8</f>
        <v>0</v>
      </c>
      <c r="M11" s="688"/>
    </row>
    <row r="12" spans="2:13" ht="46.5" customHeight="1" thickBot="1">
      <c r="B12" s="613" t="s">
        <v>20</v>
      </c>
      <c r="C12" s="895" t="s">
        <v>613</v>
      </c>
      <c r="D12" s="896"/>
      <c r="E12" s="896"/>
      <c r="F12" s="896"/>
      <c r="G12" s="896"/>
      <c r="H12" s="897"/>
      <c r="I12" s="338" t="s">
        <v>206</v>
      </c>
      <c r="J12" s="574"/>
      <c r="K12" s="574"/>
      <c r="L12" s="574"/>
      <c r="M12" s="352"/>
    </row>
    <row r="13" spans="2:13" ht="46.5" customHeight="1" thickBot="1">
      <c r="B13" s="614" t="s">
        <v>22</v>
      </c>
      <c r="C13" s="898" t="s">
        <v>614</v>
      </c>
      <c r="D13" s="899"/>
      <c r="E13" s="899"/>
      <c r="F13" s="899"/>
      <c r="G13" s="899"/>
      <c r="H13" s="900"/>
      <c r="I13" s="340" t="s">
        <v>206</v>
      </c>
      <c r="J13" s="575"/>
      <c r="K13" s="353">
        <f>IF(K11=0,0,(K11-J11)/K11)</f>
        <v>0</v>
      </c>
      <c r="L13" s="353">
        <f>IF(L11=0,0,(L11-K11)/L11)</f>
        <v>0</v>
      </c>
      <c r="M13" s="354"/>
    </row>
    <row r="14" spans="2:13" ht="18" customHeight="1" thickBot="1">
      <c r="B14" s="612" t="s">
        <v>54</v>
      </c>
      <c r="C14" s="916" t="s">
        <v>615</v>
      </c>
      <c r="D14" s="917"/>
      <c r="E14" s="917"/>
      <c r="F14" s="917"/>
      <c r="G14" s="917"/>
      <c r="H14" s="918"/>
      <c r="I14" s="919"/>
      <c r="J14" s="920"/>
      <c r="K14" s="920"/>
      <c r="L14" s="920"/>
      <c r="M14" s="921"/>
    </row>
    <row r="15" spans="2:13" ht="29.25" customHeight="1" thickBot="1">
      <c r="B15" s="613" t="s">
        <v>76</v>
      </c>
      <c r="C15" s="901" t="s">
        <v>616</v>
      </c>
      <c r="D15" s="902"/>
      <c r="E15" s="902"/>
      <c r="F15" s="902"/>
      <c r="G15" s="902"/>
      <c r="H15" s="903"/>
      <c r="I15" s="338" t="s">
        <v>617</v>
      </c>
      <c r="J15" s="689">
        <f>Мощность!D7</f>
        <v>2400</v>
      </c>
      <c r="K15" s="689">
        <f>Мощность!F7</f>
        <v>2400</v>
      </c>
      <c r="L15" s="689">
        <f>Мощность!H7</f>
        <v>2400</v>
      </c>
      <c r="M15" s="688"/>
    </row>
    <row r="16" spans="2:13" ht="33.75" customHeight="1" thickBot="1">
      <c r="B16" s="613" t="s">
        <v>77</v>
      </c>
      <c r="C16" s="895" t="s">
        <v>618</v>
      </c>
      <c r="D16" s="896"/>
      <c r="E16" s="896"/>
      <c r="F16" s="896"/>
      <c r="G16" s="896"/>
      <c r="H16" s="897"/>
      <c r="I16" s="338" t="s">
        <v>109</v>
      </c>
      <c r="J16" s="574"/>
      <c r="K16" s="574"/>
      <c r="L16" s="574"/>
      <c r="M16" s="352"/>
    </row>
    <row r="17" spans="2:13" ht="20.25" customHeight="1">
      <c r="B17" s="614" t="s">
        <v>57</v>
      </c>
      <c r="C17" s="898" t="s">
        <v>627</v>
      </c>
      <c r="D17" s="899"/>
      <c r="E17" s="899"/>
      <c r="F17" s="899"/>
      <c r="G17" s="899"/>
      <c r="H17" s="900"/>
      <c r="I17" s="340" t="s">
        <v>109</v>
      </c>
      <c r="J17" s="575"/>
      <c r="K17" s="575"/>
      <c r="L17" s="353">
        <f>'метод индекс'!E7</f>
        <v>270.88</v>
      </c>
      <c r="M17" s="354"/>
    </row>
    <row r="18" spans="2:13" ht="25.5" customHeight="1" thickBot="1">
      <c r="B18" s="615">
        <v>4</v>
      </c>
      <c r="C18" s="922" t="s">
        <v>619</v>
      </c>
      <c r="D18" s="923"/>
      <c r="E18" s="923"/>
      <c r="F18" s="923"/>
      <c r="G18" s="923"/>
      <c r="H18" s="924"/>
      <c r="I18" s="342" t="s">
        <v>206</v>
      </c>
      <c r="J18" s="576"/>
      <c r="K18" s="576"/>
      <c r="L18" s="620">
        <f>'операц.расходы'!E7</f>
        <v>4</v>
      </c>
      <c r="M18" s="621"/>
    </row>
    <row r="19" spans="2:13" ht="22.5" customHeight="1" thickBot="1">
      <c r="B19" s="616">
        <v>5</v>
      </c>
      <c r="C19" s="916" t="s">
        <v>620</v>
      </c>
      <c r="D19" s="917"/>
      <c r="E19" s="917"/>
      <c r="F19" s="917"/>
      <c r="G19" s="917"/>
      <c r="H19" s="918"/>
      <c r="I19" s="341" t="s">
        <v>206</v>
      </c>
      <c r="J19" s="577"/>
      <c r="K19" s="577"/>
      <c r="L19" s="622">
        <f>1+(L20+L21)</f>
        <v>1</v>
      </c>
      <c r="M19" s="623">
        <f>1+(M20+M21)</f>
        <v>1</v>
      </c>
    </row>
    <row r="20" spans="2:13" ht="27" customHeight="1" thickBot="1">
      <c r="B20" s="613" t="s">
        <v>621</v>
      </c>
      <c r="C20" s="901" t="s">
        <v>622</v>
      </c>
      <c r="D20" s="902"/>
      <c r="E20" s="902"/>
      <c r="F20" s="902"/>
      <c r="G20" s="902"/>
      <c r="H20" s="903"/>
      <c r="I20" s="338" t="s">
        <v>206</v>
      </c>
      <c r="J20" s="574"/>
      <c r="K20" s="574"/>
      <c r="L20" s="351">
        <f>0.75*L12*L13</f>
        <v>0</v>
      </c>
      <c r="M20" s="618">
        <f>0.75*M12*M13</f>
        <v>0</v>
      </c>
    </row>
    <row r="21" spans="2:13" ht="25.5" customHeight="1" thickBot="1">
      <c r="B21" s="617" t="s">
        <v>623</v>
      </c>
      <c r="C21" s="913" t="s">
        <v>624</v>
      </c>
      <c r="D21" s="914"/>
      <c r="E21" s="914"/>
      <c r="F21" s="914"/>
      <c r="G21" s="914"/>
      <c r="H21" s="915"/>
      <c r="I21" s="356" t="s">
        <v>206</v>
      </c>
      <c r="J21" s="578"/>
      <c r="K21" s="578"/>
      <c r="L21" s="389">
        <f>IF(L17=0,0,L16/L17*(1+L18/100))</f>
        <v>0</v>
      </c>
      <c r="M21" s="619">
        <f>IF(M17=0,0,M16/M17*(1+M18/100))</f>
        <v>0</v>
      </c>
    </row>
    <row r="24" spans="2:13" ht="12.75">
      <c r="B24" s="904" t="s">
        <v>625</v>
      </c>
      <c r="C24" s="904"/>
      <c r="D24" s="904"/>
      <c r="E24" s="904"/>
      <c r="F24" s="904"/>
      <c r="G24" s="904"/>
      <c r="H24" s="904"/>
      <c r="I24" s="904"/>
      <c r="J24" s="904"/>
      <c r="K24" s="904"/>
      <c r="L24" s="904"/>
      <c r="M24" s="904"/>
    </row>
  </sheetData>
  <sheetProtection password="C8D1" sheet="1" scenarios="1" formatRows="0"/>
  <mergeCells count="19">
    <mergeCell ref="C20:H20"/>
    <mergeCell ref="C21:H21"/>
    <mergeCell ref="B24:M24"/>
    <mergeCell ref="C14:H14"/>
    <mergeCell ref="I14:M14"/>
    <mergeCell ref="C16:H16"/>
    <mergeCell ref="C17:H17"/>
    <mergeCell ref="C18:H18"/>
    <mergeCell ref="C19:H19"/>
    <mergeCell ref="C11:H11"/>
    <mergeCell ref="C12:H12"/>
    <mergeCell ref="C13:H13"/>
    <mergeCell ref="C15:H15"/>
    <mergeCell ref="C1:L1"/>
    <mergeCell ref="B3:M3"/>
    <mergeCell ref="B8:B9"/>
    <mergeCell ref="C8:H9"/>
    <mergeCell ref="I8:I9"/>
    <mergeCell ref="K8:L8"/>
  </mergeCells>
  <printOptions/>
  <pageMargins left="0.31496062992125984" right="0" top="0" bottom="0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_valPr"/>
  <dimension ref="A1:N23"/>
  <sheetViews>
    <sheetView zoomScalePageLayoutView="0" workbookViewId="0" topLeftCell="D1">
      <selection activeCell="L14" sqref="L14"/>
    </sheetView>
  </sheetViews>
  <sheetFormatPr defaultColWidth="9.140625" defaultRowHeight="12.75"/>
  <cols>
    <col min="1" max="1" width="1.57421875" style="32" customWidth="1"/>
    <col min="2" max="2" width="7.28125" style="32" customWidth="1"/>
    <col min="3" max="3" width="41.7109375" style="32" customWidth="1"/>
    <col min="4" max="4" width="9.140625" style="32" customWidth="1"/>
    <col min="5" max="5" width="12.8515625" style="32" customWidth="1"/>
    <col min="6" max="9" width="12.28125" style="32" customWidth="1"/>
    <col min="10" max="10" width="11.7109375" style="32" customWidth="1"/>
    <col min="11" max="12" width="10.7109375" style="32" customWidth="1"/>
    <col min="13" max="13" width="10.57421875" style="32" customWidth="1"/>
    <col min="14" max="14" width="11.421875" style="32" customWidth="1"/>
    <col min="15" max="16384" width="9.140625" style="32" customWidth="1"/>
  </cols>
  <sheetData>
    <row r="1" spans="1:12" ht="12.75">
      <c r="A1" s="928" t="str">
        <f>анкета!C6</f>
        <v>Муниципальное предприятие по эксплуатации систем водоснабжения и водоотведения "Водоканал" г.Великие Луки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</row>
    <row r="2" spans="1:3" ht="12.75">
      <c r="A2" s="931"/>
      <c r="B2" s="931"/>
      <c r="C2" s="931"/>
    </row>
    <row r="3" spans="2:12" ht="15">
      <c r="B3" s="932" t="s">
        <v>434</v>
      </c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ht="13.5" thickBot="1"/>
    <row r="5" spans="2:14" ht="12.75" customHeight="1">
      <c r="B5" s="933" t="s">
        <v>293</v>
      </c>
      <c r="C5" s="936" t="s">
        <v>294</v>
      </c>
      <c r="D5" s="939"/>
      <c r="E5" s="942" t="s">
        <v>435</v>
      </c>
      <c r="F5" s="943"/>
      <c r="G5" s="943"/>
      <c r="H5" s="943"/>
      <c r="I5" s="944"/>
      <c r="J5" s="925" t="s">
        <v>494</v>
      </c>
      <c r="K5" s="926"/>
      <c r="L5" s="926"/>
      <c r="M5" s="926"/>
      <c r="N5" s="927"/>
    </row>
    <row r="6" spans="2:14" ht="12.75">
      <c r="B6" s="934"/>
      <c r="C6" s="937"/>
      <c r="D6" s="940"/>
      <c r="E6" s="416">
        <f>F6-1</f>
        <v>2014</v>
      </c>
      <c r="F6" s="416">
        <f>G6-1</f>
        <v>2015</v>
      </c>
      <c r="G6" s="416">
        <f>H6-1</f>
        <v>2016</v>
      </c>
      <c r="H6" s="416">
        <f>factYear</f>
        <v>2017</v>
      </c>
      <c r="I6" s="417">
        <f>currYear</f>
        <v>2018</v>
      </c>
      <c r="J6" s="418" t="str">
        <f>year1</f>
        <v>2019</v>
      </c>
      <c r="K6" s="419">
        <f>year2</f>
        <v>2020</v>
      </c>
      <c r="L6" s="419">
        <f>year3</f>
        <v>2021</v>
      </c>
      <c r="M6" s="420">
        <f>year4</f>
        <v>2022</v>
      </c>
      <c r="N6" s="421">
        <f>year5</f>
        <v>2023</v>
      </c>
    </row>
    <row r="7" spans="2:14" ht="25.5">
      <c r="B7" s="935"/>
      <c r="C7" s="938"/>
      <c r="D7" s="941"/>
      <c r="E7" s="43" t="s">
        <v>309</v>
      </c>
      <c r="F7" s="43" t="s">
        <v>309</v>
      </c>
      <c r="G7" s="43" t="s">
        <v>309</v>
      </c>
      <c r="H7" s="43" t="s">
        <v>309</v>
      </c>
      <c r="I7" s="259" t="s">
        <v>308</v>
      </c>
      <c r="J7" s="74" t="s">
        <v>492</v>
      </c>
      <c r="K7" s="42" t="s">
        <v>492</v>
      </c>
      <c r="L7" s="42" t="s">
        <v>492</v>
      </c>
      <c r="M7" s="42" t="s">
        <v>492</v>
      </c>
      <c r="N7" s="73" t="s">
        <v>492</v>
      </c>
    </row>
    <row r="8" spans="2:14" ht="13.5" thickBot="1">
      <c r="B8" s="76">
        <v>1</v>
      </c>
      <c r="C8" s="179">
        <v>2</v>
      </c>
      <c r="D8" s="180">
        <v>3</v>
      </c>
      <c r="E8" s="181">
        <v>4</v>
      </c>
      <c r="F8" s="179">
        <v>5</v>
      </c>
      <c r="G8" s="179">
        <v>6</v>
      </c>
      <c r="H8" s="179">
        <v>7</v>
      </c>
      <c r="I8" s="182">
        <v>8</v>
      </c>
      <c r="J8" s="76">
        <v>9</v>
      </c>
      <c r="K8" s="179">
        <v>10</v>
      </c>
      <c r="L8" s="179">
        <v>11</v>
      </c>
      <c r="M8" s="398">
        <v>12</v>
      </c>
      <c r="N8" s="399">
        <v>13</v>
      </c>
    </row>
    <row r="9" spans="2:14" ht="18" customHeight="1">
      <c r="B9" s="77">
        <v>1</v>
      </c>
      <c r="C9" s="78" t="s">
        <v>295</v>
      </c>
      <c r="D9" s="79" t="s">
        <v>296</v>
      </c>
      <c r="E9" s="529">
        <v>41.5</v>
      </c>
      <c r="F9" s="529">
        <v>36.5</v>
      </c>
      <c r="G9" s="529">
        <v>28.8</v>
      </c>
      <c r="H9" s="529">
        <v>15.7</v>
      </c>
      <c r="I9" s="690">
        <v>24</v>
      </c>
      <c r="J9" s="401">
        <f>ROUND(((H9*(1+J19)*(1+J19)+J10-J13)),3)</f>
        <v>6</v>
      </c>
      <c r="K9" s="402">
        <f>ROUND((I9*(1+K19)*(1+K19)+K10-K13),3)</f>
        <v>6</v>
      </c>
      <c r="L9" s="402">
        <f>ROUND((J9*(1+L19)*(1+L19)+L10-L13),3)</f>
        <v>6</v>
      </c>
      <c r="M9" s="402">
        <f>ROUND((K9*(1+M19)*(1+M19)+M10-M13),3)</f>
        <v>6</v>
      </c>
      <c r="N9" s="403">
        <f>ROUND((L9*(1+N19)*(1+N19)+N10-N13),3)</f>
        <v>6</v>
      </c>
    </row>
    <row r="10" spans="2:14" ht="25.5">
      <c r="B10" s="74">
        <v>2</v>
      </c>
      <c r="C10" s="44" t="s">
        <v>297</v>
      </c>
      <c r="D10" s="73" t="s">
        <v>296</v>
      </c>
      <c r="E10" s="691">
        <f aca="true" t="shared" si="0" ref="E10:N10">E11-E12</f>
        <v>0</v>
      </c>
      <c r="F10" s="672">
        <f t="shared" si="0"/>
        <v>0</v>
      </c>
      <c r="G10" s="672">
        <f t="shared" si="0"/>
        <v>0</v>
      </c>
      <c r="H10" s="672">
        <f t="shared" si="0"/>
        <v>0</v>
      </c>
      <c r="I10" s="692">
        <f t="shared" si="0"/>
        <v>0</v>
      </c>
      <c r="J10" s="668">
        <f t="shared" si="0"/>
        <v>-8.169</v>
      </c>
      <c r="K10" s="672">
        <f t="shared" si="0"/>
        <v>-15.857</v>
      </c>
      <c r="L10" s="672">
        <f t="shared" si="0"/>
        <v>0.585</v>
      </c>
      <c r="M10" s="672">
        <f t="shared" si="0"/>
        <v>-0.615</v>
      </c>
      <c r="N10" s="669">
        <f t="shared" si="0"/>
        <v>-0.615</v>
      </c>
    </row>
    <row r="11" spans="2:14" ht="25.5">
      <c r="B11" s="75" t="s">
        <v>76</v>
      </c>
      <c r="C11" s="44" t="s">
        <v>298</v>
      </c>
      <c r="D11" s="73" t="s">
        <v>296</v>
      </c>
      <c r="E11" s="693"/>
      <c r="F11" s="673"/>
      <c r="G11" s="673"/>
      <c r="H11" s="673"/>
      <c r="I11" s="694"/>
      <c r="J11" s="427"/>
      <c r="K11" s="673"/>
      <c r="L11" s="673">
        <v>0.585</v>
      </c>
      <c r="M11" s="673"/>
      <c r="N11" s="428"/>
    </row>
    <row r="12" spans="2:14" ht="25.5">
      <c r="B12" s="75" t="s">
        <v>77</v>
      </c>
      <c r="C12" s="44" t="s">
        <v>299</v>
      </c>
      <c r="D12" s="73" t="s">
        <v>296</v>
      </c>
      <c r="E12" s="693"/>
      <c r="F12" s="673"/>
      <c r="G12" s="673"/>
      <c r="H12" s="673"/>
      <c r="I12" s="694"/>
      <c r="J12" s="427">
        <v>8.169</v>
      </c>
      <c r="K12" s="673">
        <v>15.857</v>
      </c>
      <c r="L12" s="673"/>
      <c r="M12" s="673">
        <v>0.615</v>
      </c>
      <c r="N12" s="428">
        <v>0.615</v>
      </c>
    </row>
    <row r="13" spans="2:14" ht="38.25">
      <c r="B13" s="74">
        <v>3</v>
      </c>
      <c r="C13" s="44" t="s">
        <v>300</v>
      </c>
      <c r="D13" s="73" t="s">
        <v>296</v>
      </c>
      <c r="E13" s="695">
        <f aca="true" t="shared" si="1" ref="E13:N13">E14-E15</f>
        <v>0</v>
      </c>
      <c r="F13" s="696">
        <f t="shared" si="1"/>
        <v>0</v>
      </c>
      <c r="G13" s="696">
        <f t="shared" si="1"/>
        <v>0</v>
      </c>
      <c r="H13" s="696">
        <f t="shared" si="1"/>
        <v>0</v>
      </c>
      <c r="I13" s="697">
        <f t="shared" si="1"/>
        <v>0</v>
      </c>
      <c r="J13" s="698">
        <f t="shared" si="1"/>
        <v>0</v>
      </c>
      <c r="K13" s="696">
        <f t="shared" si="1"/>
        <v>0</v>
      </c>
      <c r="L13" s="696">
        <f t="shared" si="1"/>
        <v>0</v>
      </c>
      <c r="M13" s="696">
        <f t="shared" si="1"/>
        <v>0</v>
      </c>
      <c r="N13" s="699">
        <f t="shared" si="1"/>
        <v>0</v>
      </c>
    </row>
    <row r="14" spans="2:14" ht="12.75">
      <c r="B14" s="75" t="s">
        <v>78</v>
      </c>
      <c r="C14" s="88" t="s">
        <v>301</v>
      </c>
      <c r="D14" s="73" t="s">
        <v>296</v>
      </c>
      <c r="E14" s="693"/>
      <c r="F14" s="673"/>
      <c r="G14" s="673"/>
      <c r="H14" s="673"/>
      <c r="I14" s="694"/>
      <c r="J14" s="427"/>
      <c r="K14" s="673"/>
      <c r="L14" s="673"/>
      <c r="M14" s="673"/>
      <c r="N14" s="428"/>
    </row>
    <row r="15" spans="1:14" ht="12.75">
      <c r="A15" s="183"/>
      <c r="B15" s="75" t="s">
        <v>79</v>
      </c>
      <c r="C15" s="88" t="s">
        <v>302</v>
      </c>
      <c r="D15" s="73" t="s">
        <v>296</v>
      </c>
      <c r="E15" s="693"/>
      <c r="F15" s="673"/>
      <c r="G15" s="673"/>
      <c r="H15" s="673"/>
      <c r="I15" s="694"/>
      <c r="J15" s="427"/>
      <c r="K15" s="673"/>
      <c r="L15" s="673"/>
      <c r="M15" s="673"/>
      <c r="N15" s="428"/>
    </row>
    <row r="16" spans="1:14" ht="12.75" customHeight="1" hidden="1">
      <c r="A16" s="183"/>
      <c r="B16" s="75"/>
      <c r="C16" s="45" t="s">
        <v>303</v>
      </c>
      <c r="D16" s="73"/>
      <c r="E16" s="404"/>
      <c r="F16" s="405"/>
      <c r="G16" s="405"/>
      <c r="H16" s="405"/>
      <c r="I16" s="406"/>
      <c r="J16" s="407">
        <f>IF(G9=0,0,(H9-H10-H13-G9)/G9)</f>
        <v>-0.4549</v>
      </c>
      <c r="K16" s="408">
        <f>IF(H9=0,0,(I9-I10-I13-H9)/H9)</f>
        <v>0.5287</v>
      </c>
      <c r="L16" s="408">
        <f>IF(I9=0,0,(J9-J10-J13-I9)/I9)</f>
        <v>-0.4096</v>
      </c>
      <c r="M16" s="408">
        <f>IF(J9=0,0,(K9-K10-K13-J9)/J9)</f>
        <v>2.6428</v>
      </c>
      <c r="N16" s="409">
        <f>IF(K9=0,0,(L9-L10-L13-K9)/K9)</f>
        <v>-0.0975</v>
      </c>
    </row>
    <row r="17" spans="1:14" ht="12.75" hidden="1">
      <c r="A17" s="183"/>
      <c r="B17" s="75"/>
      <c r="C17" s="45" t="s">
        <v>304</v>
      </c>
      <c r="D17" s="73"/>
      <c r="E17" s="404"/>
      <c r="F17" s="405"/>
      <c r="G17" s="405"/>
      <c r="H17" s="405"/>
      <c r="I17" s="406"/>
      <c r="J17" s="407">
        <f>IF(F9=0,0,(G9-G10-G13-F9)/F9)</f>
        <v>-0.211</v>
      </c>
      <c r="K17" s="408">
        <f>IF(G9=0,0,(H9-H10-H13-G9)/G9)</f>
        <v>-0.4549</v>
      </c>
      <c r="L17" s="408">
        <f>IF(H9=0,0,(I9-I10-I13-H9)/H9)</f>
        <v>0.5287</v>
      </c>
      <c r="M17" s="408">
        <f>IF(I9=0,0,(J9-J10-J13-I9)/I9)</f>
        <v>-0.4096</v>
      </c>
      <c r="N17" s="409">
        <f>IF(J9=0,0,(K9-K10-K13-J9)/J9)</f>
        <v>2.6428</v>
      </c>
    </row>
    <row r="18" spans="1:14" ht="12.75" hidden="1">
      <c r="A18" s="183"/>
      <c r="B18" s="75"/>
      <c r="C18" s="45" t="s">
        <v>305</v>
      </c>
      <c r="D18" s="73"/>
      <c r="E18" s="404"/>
      <c r="F18" s="405"/>
      <c r="G18" s="405"/>
      <c r="H18" s="405"/>
      <c r="I18" s="406"/>
      <c r="J18" s="407">
        <f>IF(E9=0,0,(F9-F10-F13-E9)/E9)</f>
        <v>-0.1205</v>
      </c>
      <c r="K18" s="408">
        <f>IF(F9=0,0,(G9-G10-G13-F9)/F9)</f>
        <v>-0.211</v>
      </c>
      <c r="L18" s="408">
        <f>IF(G9=0,0,(H9-H10-H13-G9)/G9)</f>
        <v>-0.4549</v>
      </c>
      <c r="M18" s="408">
        <f>IF(H9=0,0,(I9-I10-I13-H9)/H9)</f>
        <v>0.5287</v>
      </c>
      <c r="N18" s="409">
        <f>IF(I9=0,0,(J9-J10-J13-I9)/I9)</f>
        <v>-0.4096</v>
      </c>
    </row>
    <row r="19" spans="1:14" ht="13.5" thickBot="1">
      <c r="A19" s="183"/>
      <c r="B19" s="76">
        <v>4</v>
      </c>
      <c r="C19" s="400" t="s">
        <v>306</v>
      </c>
      <c r="D19" s="80"/>
      <c r="E19" s="410"/>
      <c r="F19" s="411"/>
      <c r="G19" s="411"/>
      <c r="H19" s="411"/>
      <c r="I19" s="412"/>
      <c r="J19" s="413" t="str">
        <f>IF(((J16+J17+J18)/3)&lt;-0.05,"-0,05",IF(((J16+J17+J18)/3)&gt;0.05,"0,05",(J16+J17+J18)/3))</f>
        <v>-0,05</v>
      </c>
      <c r="K19" s="414">
        <f>IF(((K16+K17+K18)/3)&lt;-0.05,"-0,05",IF(((K16+K17+K18)/3)&gt;0.05,"0,05",(K16+K17+K18)/3))</f>
        <v>-0.0457</v>
      </c>
      <c r="L19" s="414" t="str">
        <f>IF(((L16+L17+L18)/3)&lt;-0.05,"-0,05",IF(((L16+L17+L18)/3)&gt;0.05,"0,05",(L16+L17+L18)/3))</f>
        <v>-0,05</v>
      </c>
      <c r="M19" s="414" t="str">
        <f>IF(((M16+M17+M18)/3)&lt;-0.05,"-0,05",IF(((M16+M17+M18)/3)&gt;0.05,"0,05",(M16+M17+M18)/3))</f>
        <v>0,05</v>
      </c>
      <c r="N19" s="415" t="str">
        <f>IF(((N16+N17+N18)/3)&lt;-0.05,"-0,05",IF(((N16+N17+N18)/3)&gt;0.05,"0,05",(N16+N17+N18)/3))</f>
        <v>0,05</v>
      </c>
    </row>
    <row r="22" spans="1:12" s="14" customFormat="1" ht="13.5" customHeight="1">
      <c r="A22" s="930" t="s">
        <v>428</v>
      </c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</row>
    <row r="23" spans="1:9" s="14" customFormat="1" ht="12.75" customHeight="1">
      <c r="A23" s="929" t="s">
        <v>429</v>
      </c>
      <c r="B23" s="929"/>
      <c r="C23" s="929"/>
      <c r="D23" s="929"/>
      <c r="E23" s="929"/>
      <c r="F23" s="929"/>
      <c r="G23" s="929"/>
      <c r="H23" s="929"/>
      <c r="I23" s="929"/>
    </row>
  </sheetData>
  <sheetProtection password="C8D1" sheet="1" scenarios="1" formatRows="0"/>
  <mergeCells count="10">
    <mergeCell ref="J5:N5"/>
    <mergeCell ref="A1:L1"/>
    <mergeCell ref="A23:I23"/>
    <mergeCell ref="A22:L22"/>
    <mergeCell ref="A2:C2"/>
    <mergeCell ref="B3:L3"/>
    <mergeCell ref="B5:B7"/>
    <mergeCell ref="C5:C7"/>
    <mergeCell ref="D5:D7"/>
    <mergeCell ref="E5:I5"/>
  </mergeCells>
  <printOptions/>
  <pageMargins left="0.31496062992125984" right="0" top="0.15748031496062992" bottom="0.15748031496062992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_valGk"/>
  <dimension ref="A1:N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.57421875" style="32" customWidth="1"/>
    <col min="2" max="2" width="7.28125" style="32" customWidth="1"/>
    <col min="3" max="3" width="41.7109375" style="32" customWidth="1"/>
    <col min="4" max="4" width="9.140625" style="32" customWidth="1"/>
    <col min="5" max="5" width="12.8515625" style="32" customWidth="1"/>
    <col min="6" max="9" width="12.28125" style="32" customWidth="1"/>
    <col min="10" max="10" width="11.7109375" style="32" customWidth="1"/>
    <col min="11" max="12" width="10.7109375" style="32" customWidth="1"/>
    <col min="13" max="13" width="10.57421875" style="32" customWidth="1"/>
    <col min="14" max="14" width="11.421875" style="32" customWidth="1"/>
    <col min="15" max="16384" width="9.140625" style="32" customWidth="1"/>
  </cols>
  <sheetData>
    <row r="1" spans="1:12" ht="12.75">
      <c r="A1" s="928" t="str">
        <f>анкета!C6</f>
        <v>Муниципальное предприятие по эксплуатации систем водоснабжения и водоотведения "Водоканал" г.Великие Луки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</row>
    <row r="2" spans="1:3" ht="12.75">
      <c r="A2" s="931"/>
      <c r="B2" s="931"/>
      <c r="C2" s="931"/>
    </row>
    <row r="3" spans="2:12" ht="15">
      <c r="B3" s="932" t="s">
        <v>436</v>
      </c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ht="13.5" thickBot="1"/>
    <row r="5" spans="2:14" ht="15" customHeight="1">
      <c r="B5" s="933" t="s">
        <v>293</v>
      </c>
      <c r="C5" s="936" t="s">
        <v>294</v>
      </c>
      <c r="D5" s="939"/>
      <c r="E5" s="942" t="s">
        <v>435</v>
      </c>
      <c r="F5" s="943"/>
      <c r="G5" s="943"/>
      <c r="H5" s="943"/>
      <c r="I5" s="944"/>
      <c r="J5" s="925" t="s">
        <v>494</v>
      </c>
      <c r="K5" s="926"/>
      <c r="L5" s="926"/>
      <c r="M5" s="926"/>
      <c r="N5" s="927"/>
    </row>
    <row r="6" spans="2:14" ht="15" customHeight="1">
      <c r="B6" s="934"/>
      <c r="C6" s="937"/>
      <c r="D6" s="940"/>
      <c r="E6" s="416">
        <f>F6-1</f>
        <v>2014</v>
      </c>
      <c r="F6" s="416">
        <f>G6-1</f>
        <v>2015</v>
      </c>
      <c r="G6" s="416">
        <f>H6-1</f>
        <v>2016</v>
      </c>
      <c r="H6" s="416">
        <f>factYear</f>
        <v>2017</v>
      </c>
      <c r="I6" s="417">
        <f>currYear</f>
        <v>2018</v>
      </c>
      <c r="J6" s="418" t="str">
        <f>year1</f>
        <v>2019</v>
      </c>
      <c r="K6" s="419">
        <f>year2</f>
        <v>2020</v>
      </c>
      <c r="L6" s="419">
        <f>year3</f>
        <v>2021</v>
      </c>
      <c r="M6" s="420">
        <f>year4</f>
        <v>2022</v>
      </c>
      <c r="N6" s="421">
        <f>year5</f>
        <v>2023</v>
      </c>
    </row>
    <row r="7" spans="2:14" ht="25.5">
      <c r="B7" s="935"/>
      <c r="C7" s="938"/>
      <c r="D7" s="941"/>
      <c r="E7" s="43" t="s">
        <v>309</v>
      </c>
      <c r="F7" s="43" t="s">
        <v>309</v>
      </c>
      <c r="G7" s="43" t="s">
        <v>309</v>
      </c>
      <c r="H7" s="43" t="s">
        <v>309</v>
      </c>
      <c r="I7" s="259" t="s">
        <v>308</v>
      </c>
      <c r="J7" s="74" t="s">
        <v>492</v>
      </c>
      <c r="K7" s="42" t="s">
        <v>492</v>
      </c>
      <c r="L7" s="42" t="s">
        <v>492</v>
      </c>
      <c r="M7" s="42" t="s">
        <v>492</v>
      </c>
      <c r="N7" s="73" t="s">
        <v>492</v>
      </c>
    </row>
    <row r="8" spans="2:14" ht="13.5" thickBot="1">
      <c r="B8" s="76">
        <v>1</v>
      </c>
      <c r="C8" s="179">
        <v>2</v>
      </c>
      <c r="D8" s="180">
        <v>3</v>
      </c>
      <c r="E8" s="181">
        <v>4</v>
      </c>
      <c r="F8" s="179">
        <v>5</v>
      </c>
      <c r="G8" s="179">
        <v>6</v>
      </c>
      <c r="H8" s="179">
        <v>7</v>
      </c>
      <c r="I8" s="182">
        <v>8</v>
      </c>
      <c r="J8" s="76">
        <v>9</v>
      </c>
      <c r="K8" s="179">
        <v>10</v>
      </c>
      <c r="L8" s="179">
        <v>11</v>
      </c>
      <c r="M8" s="398">
        <v>12</v>
      </c>
      <c r="N8" s="399">
        <v>13</v>
      </c>
    </row>
    <row r="9" spans="2:14" ht="18" customHeight="1">
      <c r="B9" s="77">
        <v>1</v>
      </c>
      <c r="C9" s="78" t="s">
        <v>295</v>
      </c>
      <c r="D9" s="79" t="s">
        <v>296</v>
      </c>
      <c r="E9" s="529"/>
      <c r="F9" s="529"/>
      <c r="G9" s="529"/>
      <c r="H9" s="529"/>
      <c r="I9" s="690"/>
      <c r="J9" s="401">
        <f>ROUND(((H9*(1+J19)*(1+J19)+J10-J13)),3)</f>
        <v>0</v>
      </c>
      <c r="K9" s="402">
        <f>ROUND((I9*(1+K19)*(1+K19)+K10-K13),3)</f>
        <v>0</v>
      </c>
      <c r="L9" s="402">
        <f>ROUND((J9*(1+L19)*(1+L19)+L10-L13),3)</f>
        <v>0</v>
      </c>
      <c r="M9" s="402">
        <f>ROUND((K9*(1+M19)*(1+M19)+M10-M13),3)</f>
        <v>0</v>
      </c>
      <c r="N9" s="403">
        <f>ROUND((L9*(1+N19)*(1+N19)+N10-N13),3)</f>
        <v>0</v>
      </c>
    </row>
    <row r="10" spans="2:14" ht="25.5">
      <c r="B10" s="74">
        <v>2</v>
      </c>
      <c r="C10" s="44" t="s">
        <v>297</v>
      </c>
      <c r="D10" s="73" t="s">
        <v>296</v>
      </c>
      <c r="E10" s="691">
        <f aca="true" t="shared" si="0" ref="E10:L10">E11-E12</f>
        <v>0</v>
      </c>
      <c r="F10" s="672">
        <f t="shared" si="0"/>
        <v>0</v>
      </c>
      <c r="G10" s="672">
        <f t="shared" si="0"/>
        <v>0</v>
      </c>
      <c r="H10" s="672">
        <f t="shared" si="0"/>
        <v>0</v>
      </c>
      <c r="I10" s="692">
        <f t="shared" si="0"/>
        <v>0</v>
      </c>
      <c r="J10" s="668">
        <f t="shared" si="0"/>
        <v>0</v>
      </c>
      <c r="K10" s="672">
        <f t="shared" si="0"/>
        <v>0</v>
      </c>
      <c r="L10" s="672">
        <f t="shared" si="0"/>
        <v>0</v>
      </c>
      <c r="M10" s="672">
        <f>M11-M12</f>
        <v>0</v>
      </c>
      <c r="N10" s="669">
        <f>N11-N12</f>
        <v>0</v>
      </c>
    </row>
    <row r="11" spans="2:14" ht="25.5">
      <c r="B11" s="75" t="s">
        <v>76</v>
      </c>
      <c r="C11" s="44" t="s">
        <v>298</v>
      </c>
      <c r="D11" s="73" t="s">
        <v>296</v>
      </c>
      <c r="E11" s="693"/>
      <c r="F11" s="673"/>
      <c r="G11" s="673"/>
      <c r="H11" s="673"/>
      <c r="I11" s="694"/>
      <c r="J11" s="427"/>
      <c r="K11" s="673"/>
      <c r="L11" s="673"/>
      <c r="M11" s="673"/>
      <c r="N11" s="428"/>
    </row>
    <row r="12" spans="2:14" ht="25.5">
      <c r="B12" s="75" t="s">
        <v>77</v>
      </c>
      <c r="C12" s="44" t="s">
        <v>299</v>
      </c>
      <c r="D12" s="73" t="s">
        <v>296</v>
      </c>
      <c r="E12" s="693"/>
      <c r="F12" s="673"/>
      <c r="G12" s="673"/>
      <c r="H12" s="673"/>
      <c r="I12" s="694"/>
      <c r="J12" s="427"/>
      <c r="K12" s="673"/>
      <c r="L12" s="673"/>
      <c r="M12" s="673"/>
      <c r="N12" s="428"/>
    </row>
    <row r="13" spans="2:14" ht="38.25">
      <c r="B13" s="74">
        <v>3</v>
      </c>
      <c r="C13" s="44" t="s">
        <v>300</v>
      </c>
      <c r="D13" s="73" t="s">
        <v>296</v>
      </c>
      <c r="E13" s="695">
        <f aca="true" t="shared" si="1" ref="E13:L13">E14-E15</f>
        <v>0</v>
      </c>
      <c r="F13" s="696">
        <f t="shared" si="1"/>
        <v>0</v>
      </c>
      <c r="G13" s="696">
        <f t="shared" si="1"/>
        <v>0</v>
      </c>
      <c r="H13" s="696">
        <f t="shared" si="1"/>
        <v>0</v>
      </c>
      <c r="I13" s="697">
        <f t="shared" si="1"/>
        <v>0</v>
      </c>
      <c r="J13" s="698">
        <f t="shared" si="1"/>
        <v>0</v>
      </c>
      <c r="K13" s="696">
        <f t="shared" si="1"/>
        <v>0</v>
      </c>
      <c r="L13" s="696">
        <f t="shared" si="1"/>
        <v>0</v>
      </c>
      <c r="M13" s="696">
        <f>M14-M15</f>
        <v>0</v>
      </c>
      <c r="N13" s="699">
        <f>N14-N15</f>
        <v>0</v>
      </c>
    </row>
    <row r="14" spans="2:14" ht="12.75">
      <c r="B14" s="75" t="s">
        <v>78</v>
      </c>
      <c r="C14" s="88" t="s">
        <v>301</v>
      </c>
      <c r="D14" s="73" t="s">
        <v>296</v>
      </c>
      <c r="E14" s="693"/>
      <c r="F14" s="673"/>
      <c r="G14" s="673"/>
      <c r="H14" s="673"/>
      <c r="I14" s="694"/>
      <c r="J14" s="427"/>
      <c r="K14" s="673"/>
      <c r="L14" s="673"/>
      <c r="M14" s="673"/>
      <c r="N14" s="428"/>
    </row>
    <row r="15" spans="1:14" ht="12.75">
      <c r="A15" s="183"/>
      <c r="B15" s="75" t="s">
        <v>79</v>
      </c>
      <c r="C15" s="88" t="s">
        <v>302</v>
      </c>
      <c r="D15" s="73" t="s">
        <v>296</v>
      </c>
      <c r="E15" s="693"/>
      <c r="F15" s="673"/>
      <c r="G15" s="673"/>
      <c r="H15" s="673"/>
      <c r="I15" s="694"/>
      <c r="J15" s="427"/>
      <c r="K15" s="673"/>
      <c r="L15" s="673"/>
      <c r="M15" s="673"/>
      <c r="N15" s="428"/>
    </row>
    <row r="16" spans="1:14" ht="12.75" customHeight="1" hidden="1">
      <c r="A16" s="183"/>
      <c r="B16" s="75"/>
      <c r="C16" s="45" t="s">
        <v>303</v>
      </c>
      <c r="D16" s="73"/>
      <c r="E16" s="404"/>
      <c r="F16" s="405"/>
      <c r="G16" s="405"/>
      <c r="H16" s="405"/>
      <c r="I16" s="406"/>
      <c r="J16" s="407">
        <f>IF(G9=0,0,(H9-H10-H13-G9)/G9)</f>
        <v>0</v>
      </c>
      <c r="K16" s="408">
        <f>IF(H9=0,0,(I9-I10-I13-H9)/H9)</f>
        <v>0</v>
      </c>
      <c r="L16" s="408">
        <f>IF(I9=0,0,(J9-J10-J13-I9)/I9)</f>
        <v>0</v>
      </c>
      <c r="M16" s="408">
        <f>IF(J9=0,0,(K9-K10-K13-J9)/J9)</f>
        <v>0</v>
      </c>
      <c r="N16" s="409">
        <f>IF(K9=0,0,(L9-L10-L13-K9)/K9)</f>
        <v>0</v>
      </c>
    </row>
    <row r="17" spans="1:14" ht="12.75" hidden="1">
      <c r="A17" s="183"/>
      <c r="B17" s="75"/>
      <c r="C17" s="45" t="s">
        <v>304</v>
      </c>
      <c r="D17" s="73"/>
      <c r="E17" s="404"/>
      <c r="F17" s="405"/>
      <c r="G17" s="405"/>
      <c r="H17" s="405"/>
      <c r="I17" s="406"/>
      <c r="J17" s="407">
        <f>IF(F9=0,0,(G9-G10-G13-F9)/F9)</f>
        <v>0</v>
      </c>
      <c r="K17" s="408">
        <f>IF(G9=0,0,(H9-H10-H13-G9)/G9)</f>
        <v>0</v>
      </c>
      <c r="L17" s="408">
        <f>IF(H9=0,0,(I9-I10-I13-H9)/H9)</f>
        <v>0</v>
      </c>
      <c r="M17" s="408">
        <f>IF(I9=0,0,(J9-J10-J13-I9)/I9)</f>
        <v>0</v>
      </c>
      <c r="N17" s="409">
        <f>IF(J9=0,0,(K9-K10-K13-J9)/J9)</f>
        <v>0</v>
      </c>
    </row>
    <row r="18" spans="1:14" ht="12.75" hidden="1">
      <c r="A18" s="183"/>
      <c r="B18" s="75"/>
      <c r="C18" s="45" t="s">
        <v>305</v>
      </c>
      <c r="D18" s="73"/>
      <c r="E18" s="404"/>
      <c r="F18" s="405"/>
      <c r="G18" s="405"/>
      <c r="H18" s="405"/>
      <c r="I18" s="406"/>
      <c r="J18" s="407">
        <f>IF(E9=0,0,(F9-F10-F13-E9)/E9)</f>
        <v>0</v>
      </c>
      <c r="K18" s="408">
        <f>IF(F9=0,0,(G9-G10-G13-F9)/F9)</f>
        <v>0</v>
      </c>
      <c r="L18" s="408">
        <f>IF(G9=0,0,(H9-H10-H13-G9)/G9)</f>
        <v>0</v>
      </c>
      <c r="M18" s="408">
        <f>IF(H9=0,0,(I9-I10-I13-H9)/H9)</f>
        <v>0</v>
      </c>
      <c r="N18" s="409">
        <f>IF(I9=0,0,(J9-J10-J13-I9)/I9)</f>
        <v>0</v>
      </c>
    </row>
    <row r="19" spans="1:14" ht="13.5" thickBot="1">
      <c r="A19" s="183"/>
      <c r="B19" s="76">
        <v>4</v>
      </c>
      <c r="C19" s="400" t="s">
        <v>306</v>
      </c>
      <c r="D19" s="80"/>
      <c r="E19" s="410"/>
      <c r="F19" s="411"/>
      <c r="G19" s="411"/>
      <c r="H19" s="411"/>
      <c r="I19" s="412"/>
      <c r="J19" s="413">
        <f>IF(((J16+J17+J18)/3)&lt;-0.05,"-0,05",IF(((J16+J17+J18)/3)&gt;0.05,"0,05",(J16+J17+J18)/3))</f>
        <v>0</v>
      </c>
      <c r="K19" s="414">
        <f>IF(((K16+K17+K18)/3)&lt;-0.05,"-0,05",IF(((K16+K17+K18)/3)&gt;0.05,"0,05",(K16+K17+K18)/3))</f>
        <v>0</v>
      </c>
      <c r="L19" s="414">
        <f>IF(((L16+L17+L18)/3)&lt;-0.05,"-0,05",IF(((L16+L17+L18)/3)&gt;0.05,"0,05",(L16+L17+L18)/3))</f>
        <v>0</v>
      </c>
      <c r="M19" s="414">
        <f>IF(((M16+M17+M18)/3)&lt;-0.05,"-0,05",IF(((M16+M17+M18)/3)&gt;0.05,"0,05",(M16+M17+M18)/3))</f>
        <v>0</v>
      </c>
      <c r="N19" s="415">
        <f>IF(((N16+N17+N18)/3)&lt;-0.05,"-0,05",IF(((N16+N17+N18)/3)&gt;0.05,"0,05",(N16+N17+N18)/3))</f>
        <v>0</v>
      </c>
    </row>
    <row r="22" spans="1:12" s="14" customFormat="1" ht="13.5" customHeight="1">
      <c r="A22" s="930" t="s">
        <v>428</v>
      </c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</row>
    <row r="23" spans="1:9" s="14" customFormat="1" ht="12.75" customHeight="1">
      <c r="A23" s="929" t="s">
        <v>429</v>
      </c>
      <c r="B23" s="929"/>
      <c r="C23" s="929"/>
      <c r="D23" s="929"/>
      <c r="E23" s="929"/>
      <c r="F23" s="929"/>
      <c r="G23" s="929"/>
      <c r="H23" s="929"/>
      <c r="I23" s="929"/>
    </row>
  </sheetData>
  <sheetProtection password="C8D1" sheet="1" scenarios="1" formatRows="0"/>
  <mergeCells count="10">
    <mergeCell ref="J5:N5"/>
    <mergeCell ref="A1:L1"/>
    <mergeCell ref="A22:L22"/>
    <mergeCell ref="A23:I23"/>
    <mergeCell ref="A2:C2"/>
    <mergeCell ref="B3:L3"/>
    <mergeCell ref="B5:B7"/>
    <mergeCell ref="C5:C7"/>
    <mergeCell ref="D5:D7"/>
    <mergeCell ref="E5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_own"/>
  <dimension ref="A1:P13"/>
  <sheetViews>
    <sheetView zoomScale="90" zoomScaleNormal="90" zoomScalePageLayoutView="0" workbookViewId="0" topLeftCell="F1">
      <selection activeCell="O21" sqref="O21"/>
    </sheetView>
  </sheetViews>
  <sheetFormatPr defaultColWidth="9.140625" defaultRowHeight="12.75"/>
  <cols>
    <col min="1" max="1" width="8.7109375" style="85" customWidth="1"/>
    <col min="2" max="2" width="37.7109375" style="85" customWidth="1"/>
    <col min="3" max="3" width="10.421875" style="85" customWidth="1"/>
    <col min="4" max="4" width="10.28125" style="85" customWidth="1"/>
    <col min="5" max="5" width="10.7109375" style="85" customWidth="1"/>
    <col min="6" max="6" width="12.8515625" style="85" customWidth="1"/>
    <col min="7" max="10" width="13.7109375" style="85" customWidth="1"/>
    <col min="11" max="16" width="13.7109375" style="0" customWidth="1"/>
  </cols>
  <sheetData>
    <row r="1" ht="12.75">
      <c r="A1" s="85" t="str">
        <f>org</f>
        <v>Муниципальное предприятие по эксплуатации систем водоснабжения и водоотведения "Водоканал" г.Великие Луки</v>
      </c>
    </row>
    <row r="3" spans="1:16" ht="15">
      <c r="A3" s="888" t="s">
        <v>526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</row>
    <row r="4" spans="10:16" ht="13.5" thickBot="1">
      <c r="J4" s="227"/>
      <c r="P4" s="227" t="s">
        <v>296</v>
      </c>
    </row>
    <row r="5" spans="1:16" ht="14.25" customHeight="1" thickBot="1">
      <c r="A5" s="955"/>
      <c r="B5" s="886" t="s">
        <v>594</v>
      </c>
      <c r="C5" s="959" t="s">
        <v>536</v>
      </c>
      <c r="D5" s="960"/>
      <c r="E5" s="957" t="s">
        <v>537</v>
      </c>
      <c r="F5" s="958"/>
      <c r="G5" s="952" t="s">
        <v>494</v>
      </c>
      <c r="H5" s="953"/>
      <c r="I5" s="953"/>
      <c r="J5" s="953"/>
      <c r="K5" s="953"/>
      <c r="L5" s="953"/>
      <c r="M5" s="953"/>
      <c r="N5" s="953"/>
      <c r="O5" s="953"/>
      <c r="P5" s="954"/>
    </row>
    <row r="6" spans="1:16" ht="21" customHeight="1">
      <c r="A6" s="956"/>
      <c r="B6" s="892"/>
      <c r="C6" s="961">
        <f>factYear</f>
        <v>2017</v>
      </c>
      <c r="D6" s="962"/>
      <c r="E6" s="961">
        <f>currYear</f>
        <v>2018</v>
      </c>
      <c r="F6" s="963"/>
      <c r="G6" s="945" t="str">
        <f>year1</f>
        <v>2019</v>
      </c>
      <c r="H6" s="946"/>
      <c r="I6" s="945">
        <f>year2</f>
        <v>2020</v>
      </c>
      <c r="J6" s="946"/>
      <c r="K6" s="945">
        <f>year3</f>
        <v>2021</v>
      </c>
      <c r="L6" s="946"/>
      <c r="M6" s="947">
        <f>year4</f>
        <v>2022</v>
      </c>
      <c r="N6" s="948"/>
      <c r="O6" s="947">
        <f>year5</f>
        <v>2023</v>
      </c>
      <c r="P6" s="948"/>
    </row>
    <row r="7" spans="1:16" ht="30" customHeight="1">
      <c r="A7" s="956"/>
      <c r="B7" s="892"/>
      <c r="C7" s="236" t="s">
        <v>161</v>
      </c>
      <c r="D7" s="237" t="s">
        <v>162</v>
      </c>
      <c r="E7" s="236" t="s">
        <v>161</v>
      </c>
      <c r="F7" s="248" t="s">
        <v>310</v>
      </c>
      <c r="G7" s="102" t="s">
        <v>8</v>
      </c>
      <c r="H7" s="96" t="s">
        <v>2</v>
      </c>
      <c r="I7" s="102" t="s">
        <v>8</v>
      </c>
      <c r="J7" s="96" t="s">
        <v>2</v>
      </c>
      <c r="K7" s="102" t="s">
        <v>8</v>
      </c>
      <c r="L7" s="96" t="s">
        <v>2</v>
      </c>
      <c r="M7" s="102" t="s">
        <v>8</v>
      </c>
      <c r="N7" s="96" t="s">
        <v>2</v>
      </c>
      <c r="O7" s="102" t="s">
        <v>8</v>
      </c>
      <c r="P7" s="96" t="s">
        <v>2</v>
      </c>
    </row>
    <row r="8" spans="1:16" ht="13.5" thickBot="1">
      <c r="A8" s="251">
        <v>1</v>
      </c>
      <c r="B8" s="252">
        <v>2</v>
      </c>
      <c r="C8" s="253">
        <v>3</v>
      </c>
      <c r="D8" s="254">
        <v>4</v>
      </c>
      <c r="E8" s="37">
        <v>5</v>
      </c>
      <c r="F8" s="255">
        <v>6</v>
      </c>
      <c r="G8" s="37">
        <v>7</v>
      </c>
      <c r="H8" s="254">
        <v>8</v>
      </c>
      <c r="I8" s="37">
        <v>9</v>
      </c>
      <c r="J8" s="256">
        <v>10</v>
      </c>
      <c r="K8" s="37">
        <v>11</v>
      </c>
      <c r="L8" s="257">
        <v>12</v>
      </c>
      <c r="M8" s="258">
        <v>13</v>
      </c>
      <c r="N8" s="257">
        <v>14</v>
      </c>
      <c r="O8" s="258">
        <v>15</v>
      </c>
      <c r="P8" s="257">
        <v>16</v>
      </c>
    </row>
    <row r="9" spans="1:16" ht="12.75">
      <c r="A9" s="249">
        <v>1</v>
      </c>
      <c r="B9" s="250" t="s">
        <v>105</v>
      </c>
      <c r="C9" s="422">
        <f>SUM(C11:C13)</f>
        <v>53.19</v>
      </c>
      <c r="D9" s="424">
        <f>IF(SUM(D11:D13)=D10,SUM(D11:D13),0)</f>
        <v>15.7</v>
      </c>
      <c r="E9" s="422">
        <f>SUM(E11:E13)</f>
        <v>25.532</v>
      </c>
      <c r="F9" s="423">
        <f aca="true" t="shared" si="0" ref="F9:P9">SUM(F11:F13)</f>
        <v>7</v>
      </c>
      <c r="G9" s="422">
        <f t="shared" si="0"/>
        <v>6</v>
      </c>
      <c r="H9" s="423">
        <f t="shared" si="0"/>
        <v>0</v>
      </c>
      <c r="I9" s="422">
        <f t="shared" si="0"/>
        <v>6</v>
      </c>
      <c r="J9" s="423">
        <f t="shared" si="0"/>
        <v>0</v>
      </c>
      <c r="K9" s="422">
        <f t="shared" si="0"/>
        <v>6</v>
      </c>
      <c r="L9" s="423">
        <f t="shared" si="0"/>
        <v>0</v>
      </c>
      <c r="M9" s="422">
        <f t="shared" si="0"/>
        <v>6</v>
      </c>
      <c r="N9" s="423">
        <f t="shared" si="0"/>
        <v>0</v>
      </c>
      <c r="O9" s="422">
        <f t="shared" si="0"/>
        <v>6</v>
      </c>
      <c r="P9" s="423">
        <f t="shared" si="0"/>
        <v>0</v>
      </c>
    </row>
    <row r="10" spans="1:16" ht="12.75">
      <c r="A10" s="228"/>
      <c r="B10" s="230" t="s">
        <v>527</v>
      </c>
      <c r="C10" s="700"/>
      <c r="D10" s="220">
        <f>'Объекты ВС'!K9</f>
        <v>15.7</v>
      </c>
      <c r="E10" s="232"/>
      <c r="F10" s="233"/>
      <c r="G10" s="232"/>
      <c r="H10" s="233"/>
      <c r="I10" s="232"/>
      <c r="J10" s="233"/>
      <c r="K10" s="232"/>
      <c r="L10" s="233"/>
      <c r="M10" s="232"/>
      <c r="N10" s="233"/>
      <c r="O10" s="232"/>
      <c r="P10" s="233"/>
    </row>
    <row r="11" spans="1:16" ht="12.75">
      <c r="A11" s="228"/>
      <c r="B11" s="231" t="s">
        <v>311</v>
      </c>
      <c r="C11" s="701"/>
      <c r="D11" s="702"/>
      <c r="E11" s="703"/>
      <c r="F11" s="702"/>
      <c r="G11" s="703"/>
      <c r="H11" s="702"/>
      <c r="I11" s="703"/>
      <c r="J11" s="702"/>
      <c r="K11" s="703"/>
      <c r="L11" s="702"/>
      <c r="M11" s="703"/>
      <c r="N11" s="702"/>
      <c r="O11" s="703"/>
      <c r="P11" s="702"/>
    </row>
    <row r="12" spans="1:16" ht="26.25" thickBot="1">
      <c r="A12" s="229"/>
      <c r="B12" s="142" t="s">
        <v>674</v>
      </c>
      <c r="C12" s="704">
        <v>53.19</v>
      </c>
      <c r="D12" s="705">
        <v>15.7</v>
      </c>
      <c r="E12" s="704">
        <v>25.532</v>
      </c>
      <c r="F12" s="705">
        <v>7</v>
      </c>
      <c r="G12" s="704">
        <v>6</v>
      </c>
      <c r="H12" s="705"/>
      <c r="I12" s="704">
        <v>6</v>
      </c>
      <c r="J12" s="705"/>
      <c r="K12" s="704">
        <v>6</v>
      </c>
      <c r="L12" s="705"/>
      <c r="M12" s="704">
        <v>6</v>
      </c>
      <c r="N12" s="705"/>
      <c r="O12" s="704">
        <v>6</v>
      </c>
      <c r="P12" s="705"/>
    </row>
    <row r="13" spans="1:16" ht="13.5" thickBot="1">
      <c r="A13" s="949" t="s">
        <v>335</v>
      </c>
      <c r="B13" s="950"/>
      <c r="C13" s="950"/>
      <c r="D13" s="950"/>
      <c r="E13" s="950"/>
      <c r="F13" s="950"/>
      <c r="G13" s="950"/>
      <c r="H13" s="950"/>
      <c r="I13" s="950"/>
      <c r="J13" s="951"/>
      <c r="K13" s="949"/>
      <c r="L13" s="950"/>
      <c r="M13" s="950"/>
      <c r="N13" s="950"/>
      <c r="O13" s="950"/>
      <c r="P13" s="950"/>
    </row>
  </sheetData>
  <sheetProtection password="C8D1" sheet="1" scenarios="1" formatRows="0"/>
  <mergeCells count="15">
    <mergeCell ref="A3:P3"/>
    <mergeCell ref="E5:F5"/>
    <mergeCell ref="C5:D5"/>
    <mergeCell ref="C6:D6"/>
    <mergeCell ref="E6:F6"/>
    <mergeCell ref="G6:H6"/>
    <mergeCell ref="I6:J6"/>
    <mergeCell ref="K6:L6"/>
    <mergeCell ref="M6:N6"/>
    <mergeCell ref="O6:P6"/>
    <mergeCell ref="A13:J13"/>
    <mergeCell ref="G5:P5"/>
    <mergeCell ref="K13:P13"/>
    <mergeCell ref="A5:A7"/>
    <mergeCell ref="B5:B7"/>
  </mergeCells>
  <hyperlinks>
    <hyperlink ref="A13" tooltip="Кликните по гиперссылке для добавления новой строки" display="Добавить строки"/>
  </hyperlinks>
  <printOptions/>
  <pageMargins left="0.11811023622047245" right="0" top="0.7480314960629921" bottom="0.7480314960629921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2"/>
  <dimension ref="A1:S27"/>
  <sheetViews>
    <sheetView zoomScale="90" zoomScaleNormal="90" zoomScalePageLayoutView="0" workbookViewId="0" topLeftCell="I3">
      <selection activeCell="F20" sqref="F19:F20"/>
    </sheetView>
  </sheetViews>
  <sheetFormatPr defaultColWidth="9.140625" defaultRowHeight="12.75"/>
  <cols>
    <col min="1" max="1" width="9.140625" style="32" customWidth="1"/>
    <col min="2" max="2" width="5.8515625" style="32" customWidth="1"/>
    <col min="3" max="3" width="28.140625" style="32" customWidth="1"/>
    <col min="4" max="4" width="9.140625" style="32" customWidth="1"/>
    <col min="5" max="18" width="13.57421875" style="32" customWidth="1"/>
    <col min="19" max="16384" width="9.140625" style="32" customWidth="1"/>
  </cols>
  <sheetData>
    <row r="1" spans="1:18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</row>
    <row r="3" spans="2:18" ht="15">
      <c r="B3" s="932" t="s">
        <v>538</v>
      </c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</row>
    <row r="4" ht="13.5" thickBot="1"/>
    <row r="5" spans="2:18" ht="27" customHeight="1" thickBot="1">
      <c r="B5" s="966" t="s">
        <v>327</v>
      </c>
      <c r="C5" s="968" t="s">
        <v>328</v>
      </c>
      <c r="D5" s="818" t="s">
        <v>7</v>
      </c>
      <c r="E5" s="959" t="s">
        <v>536</v>
      </c>
      <c r="F5" s="960"/>
      <c r="G5" s="957" t="s">
        <v>537</v>
      </c>
      <c r="H5" s="958"/>
      <c r="I5" s="952" t="s">
        <v>494</v>
      </c>
      <c r="J5" s="953"/>
      <c r="K5" s="953"/>
      <c r="L5" s="953"/>
      <c r="M5" s="953"/>
      <c r="N5" s="953"/>
      <c r="O5" s="953"/>
      <c r="P5" s="953"/>
      <c r="Q5" s="953"/>
      <c r="R5" s="954"/>
    </row>
    <row r="6" spans="2:18" ht="18.75" customHeight="1">
      <c r="B6" s="967"/>
      <c r="C6" s="969"/>
      <c r="D6" s="970"/>
      <c r="E6" s="961">
        <f>factYear</f>
        <v>2017</v>
      </c>
      <c r="F6" s="962"/>
      <c r="G6" s="961">
        <f>currYear</f>
        <v>2018</v>
      </c>
      <c r="H6" s="963"/>
      <c r="I6" s="945" t="str">
        <f>year1</f>
        <v>2019</v>
      </c>
      <c r="J6" s="946"/>
      <c r="K6" s="945">
        <f>year2</f>
        <v>2020</v>
      </c>
      <c r="L6" s="946"/>
      <c r="M6" s="945">
        <f>year3</f>
        <v>2021</v>
      </c>
      <c r="N6" s="946"/>
      <c r="O6" s="947">
        <f>year4</f>
        <v>2022</v>
      </c>
      <c r="P6" s="948"/>
      <c r="Q6" s="947">
        <f>year5</f>
        <v>2023</v>
      </c>
      <c r="R6" s="948"/>
    </row>
    <row r="7" spans="2:18" ht="36.75" customHeight="1">
      <c r="B7" s="967"/>
      <c r="C7" s="969"/>
      <c r="D7" s="970"/>
      <c r="E7" s="236" t="s">
        <v>161</v>
      </c>
      <c r="F7" s="237" t="s">
        <v>162</v>
      </c>
      <c r="G7" s="236" t="s">
        <v>161</v>
      </c>
      <c r="H7" s="237" t="s">
        <v>310</v>
      </c>
      <c r="I7" s="102" t="s">
        <v>8</v>
      </c>
      <c r="J7" s="96" t="s">
        <v>2</v>
      </c>
      <c r="K7" s="102" t="s">
        <v>8</v>
      </c>
      <c r="L7" s="96" t="s">
        <v>2</v>
      </c>
      <c r="M7" s="102" t="s">
        <v>8</v>
      </c>
      <c r="N7" s="96" t="s">
        <v>2</v>
      </c>
      <c r="O7" s="102" t="s">
        <v>8</v>
      </c>
      <c r="P7" s="96" t="s">
        <v>2</v>
      </c>
      <c r="Q7" s="102" t="s">
        <v>8</v>
      </c>
      <c r="R7" s="96" t="s">
        <v>2</v>
      </c>
    </row>
    <row r="8" spans="2:18" ht="13.5" thickBot="1">
      <c r="B8" s="260">
        <v>1</v>
      </c>
      <c r="C8" s="263">
        <v>2</v>
      </c>
      <c r="D8" s="186">
        <v>3</v>
      </c>
      <c r="E8" s="260">
        <v>4</v>
      </c>
      <c r="F8" s="186">
        <v>5</v>
      </c>
      <c r="G8" s="260">
        <v>6</v>
      </c>
      <c r="H8" s="186">
        <v>7</v>
      </c>
      <c r="I8" s="184">
        <v>8</v>
      </c>
      <c r="J8" s="186">
        <v>9</v>
      </c>
      <c r="K8" s="184">
        <v>10</v>
      </c>
      <c r="L8" s="186">
        <v>11</v>
      </c>
      <c r="M8" s="184">
        <v>12</v>
      </c>
      <c r="N8" s="186">
        <v>13</v>
      </c>
      <c r="O8" s="184">
        <v>14</v>
      </c>
      <c r="P8" s="186">
        <v>15</v>
      </c>
      <c r="Q8" s="184">
        <v>16</v>
      </c>
      <c r="R8" s="186">
        <v>17</v>
      </c>
    </row>
    <row r="9" spans="2:18" ht="25.5">
      <c r="B9" s="425">
        <v>1</v>
      </c>
      <c r="C9" s="426" t="s">
        <v>539</v>
      </c>
      <c r="D9" s="262" t="s">
        <v>296</v>
      </c>
      <c r="E9" s="665">
        <f aca="true" t="shared" si="0" ref="E9:R9">SUM(E10:E12)</f>
        <v>3.19</v>
      </c>
      <c r="F9" s="403">
        <f t="shared" si="0"/>
        <v>0</v>
      </c>
      <c r="G9" s="665">
        <f t="shared" si="0"/>
        <v>1.532</v>
      </c>
      <c r="H9" s="403">
        <f t="shared" si="0"/>
        <v>0</v>
      </c>
      <c r="I9" s="401">
        <f t="shared" si="0"/>
        <v>0</v>
      </c>
      <c r="J9" s="403">
        <f t="shared" si="0"/>
        <v>0</v>
      </c>
      <c r="K9" s="401">
        <f t="shared" si="0"/>
        <v>0</v>
      </c>
      <c r="L9" s="403">
        <f t="shared" si="0"/>
        <v>0</v>
      </c>
      <c r="M9" s="401">
        <f t="shared" si="0"/>
        <v>0</v>
      </c>
      <c r="N9" s="403">
        <f t="shared" si="0"/>
        <v>0</v>
      </c>
      <c r="O9" s="401">
        <f t="shared" si="0"/>
        <v>0</v>
      </c>
      <c r="P9" s="403">
        <f t="shared" si="0"/>
        <v>0</v>
      </c>
      <c r="Q9" s="401">
        <f t="shared" si="0"/>
        <v>0</v>
      </c>
      <c r="R9" s="403">
        <f t="shared" si="0"/>
        <v>0</v>
      </c>
    </row>
    <row r="10" spans="2:18" ht="38.25">
      <c r="B10" s="238">
        <v>2</v>
      </c>
      <c r="C10" s="216" t="s">
        <v>329</v>
      </c>
      <c r="D10" s="90" t="s">
        <v>296</v>
      </c>
      <c r="E10" s="666"/>
      <c r="F10" s="667"/>
      <c r="G10" s="666"/>
      <c r="H10" s="667"/>
      <c r="I10" s="666"/>
      <c r="J10" s="667"/>
      <c r="K10" s="666"/>
      <c r="L10" s="667"/>
      <c r="M10" s="666"/>
      <c r="N10" s="667"/>
      <c r="O10" s="666"/>
      <c r="P10" s="667"/>
      <c r="Q10" s="666"/>
      <c r="R10" s="667"/>
    </row>
    <row r="11" spans="2:18" ht="38.25" customHeight="1">
      <c r="B11" s="238">
        <v>3</v>
      </c>
      <c r="C11" s="216" t="s">
        <v>330</v>
      </c>
      <c r="D11" s="90" t="s">
        <v>296</v>
      </c>
      <c r="E11" s="666">
        <v>3.19</v>
      </c>
      <c r="F11" s="667">
        <v>0</v>
      </c>
      <c r="G11" s="666">
        <v>1.532</v>
      </c>
      <c r="H11" s="667">
        <v>0</v>
      </c>
      <c r="I11" s="666">
        <v>0</v>
      </c>
      <c r="J11" s="667"/>
      <c r="K11" s="666">
        <v>0</v>
      </c>
      <c r="L11" s="667"/>
      <c r="M11" s="666">
        <v>0</v>
      </c>
      <c r="N11" s="667"/>
      <c r="O11" s="666">
        <v>0</v>
      </c>
      <c r="P11" s="667"/>
      <c r="Q11" s="666">
        <v>0</v>
      </c>
      <c r="R11" s="667"/>
    </row>
    <row r="12" spans="2:18" ht="25.5">
      <c r="B12" s="238">
        <v>4</v>
      </c>
      <c r="C12" s="216" t="s">
        <v>331</v>
      </c>
      <c r="D12" s="90" t="s">
        <v>296</v>
      </c>
      <c r="E12" s="427"/>
      <c r="F12" s="428"/>
      <c r="G12" s="427"/>
      <c r="H12" s="428"/>
      <c r="I12" s="427"/>
      <c r="J12" s="428"/>
      <c r="K12" s="427"/>
      <c r="L12" s="428"/>
      <c r="M12" s="427"/>
      <c r="N12" s="428"/>
      <c r="O12" s="427"/>
      <c r="P12" s="428"/>
      <c r="Q12" s="427"/>
      <c r="R12" s="428"/>
    </row>
    <row r="13" spans="2:18" ht="42.75" customHeight="1">
      <c r="B13" s="238">
        <v>5</v>
      </c>
      <c r="C13" s="217" t="s">
        <v>488</v>
      </c>
      <c r="D13" s="90" t="s">
        <v>206</v>
      </c>
      <c r="E13" s="668">
        <f>IF(('Баланс ВС'!C15+Потери!E11+E12)*100=0,0,E11/('Баланс ВС'!C15+Потери!E11+E12)*100)</f>
        <v>5.997</v>
      </c>
      <c r="F13" s="669">
        <f>IF(('Баланс ВС'!D15+Потери!F11+F12)*100=0,0,F11/('Баланс ВС'!D15+Потери!F11+F12)*100)</f>
        <v>0</v>
      </c>
      <c r="G13" s="668">
        <f>IF(('Баланс ВС'!E15+Потери!G11+G12)*100=0,0,G11/('Баланс ВС'!E15+Потери!G11+G12)*100)</f>
        <v>6</v>
      </c>
      <c r="H13" s="669">
        <f>IF(('Баланс ВС'!F15+Потери!H11+H12)*100=0,0,H11/('Баланс ВС'!F15+Потери!H11+H12)*100)</f>
        <v>0</v>
      </c>
      <c r="I13" s="668">
        <f>IF(('Баланс ВС'!G15+Потери!I11+I12)*100=0,0,I11/('Баланс ВС'!G15+Потери!I11+I12)*100)</f>
        <v>0</v>
      </c>
      <c r="J13" s="669">
        <f>IF(('Баланс ВС'!H15+Потери!J11+J12)*100=0,0,J11/('Баланс ВС'!H15+Потери!J11+J12)*100)</f>
        <v>0</v>
      </c>
      <c r="K13" s="668">
        <f>IF(('Баланс ВС'!I15+Потери!K11+K12)*100=0,0,K11/('Баланс ВС'!I15+Потери!K11+K12)*100)</f>
        <v>0</v>
      </c>
      <c r="L13" s="669">
        <f>IF(('Баланс ВС'!J15+Потери!L11+L12)*100=0,0,L11/('Баланс ВС'!J15+Потери!L11+L12)*100)</f>
        <v>0</v>
      </c>
      <c r="M13" s="668">
        <f>IF(('Баланс ВС'!K15+Потери!M11+M12)*100=0,0,M11/('Баланс ВС'!K15+Потери!M11+M12)*100)</f>
        <v>0</v>
      </c>
      <c r="N13" s="669">
        <f>IF(('Баланс ВС'!L15+Потери!N11+N12)*100=0,0,N11/('Баланс ВС'!L15+Потери!N11+N12)*100)</f>
        <v>0</v>
      </c>
      <c r="O13" s="668">
        <f>IF(('Баланс ВС'!M15+Потери!O11+O12)*100=0,0,O11/('Баланс ВС'!M15+Потери!O11+O12)*100)</f>
        <v>0</v>
      </c>
      <c r="P13" s="669">
        <f>IF(('Баланс ВС'!N15+Потери!P11+P12)*100=0,0,P11/('Баланс ВС'!N15+Потери!P11+P12)*100)</f>
        <v>0</v>
      </c>
      <c r="Q13" s="668">
        <f>IF(('Баланс ВС'!O15+Потери!Q11+Q12)*100=0,0,Q11/('Баланс ВС'!O15+Потери!Q11+Q12)*100)</f>
        <v>0</v>
      </c>
      <c r="R13" s="669">
        <f>IF(('Баланс ВС'!P15+Потери!R11+R12)*100=0,0,R11/('Баланс ВС'!P15+Потери!R11+R12)*100)</f>
        <v>0</v>
      </c>
    </row>
    <row r="14" spans="2:18" ht="36.75" customHeight="1" thickBot="1">
      <c r="B14" s="260">
        <v>6</v>
      </c>
      <c r="C14" s="261" t="s">
        <v>569</v>
      </c>
      <c r="D14" s="186" t="s">
        <v>206</v>
      </c>
      <c r="E14" s="670">
        <f>IF('Баланс ВС'!C7*100=0,0,E9/'Баланс ВС'!C7*100)</f>
        <v>5.997</v>
      </c>
      <c r="F14" s="671">
        <f>IF('Баланс ВС'!D7*100=0,0,F9/'Баланс ВС'!D7*100)</f>
        <v>0</v>
      </c>
      <c r="G14" s="670">
        <f>IF((G9+'Баланс ВС'!E15)*100=0,0,G9/(G9+'Баланс ВС'!E15)*100)</f>
        <v>6</v>
      </c>
      <c r="H14" s="671">
        <f>IF((H9+'Баланс ВС'!F15)*100=0,0,H9/(H9+'Баланс ВС'!F15)*100)</f>
        <v>0</v>
      </c>
      <c r="I14" s="670">
        <f>IF((I9+'Баланс ВС'!G15)*100=0,0,I9/(I9+'Баланс ВС'!G15)*100)</f>
        <v>0</v>
      </c>
      <c r="J14" s="671">
        <f>IF((J9+'Баланс ВС'!H15)*100=0,0,J9/(J9+'Баланс ВС'!H15)*100)</f>
        <v>0</v>
      </c>
      <c r="K14" s="670">
        <f>IF((K9+'Баланс ВС'!I15)*100=0,0,K9/(K9+'Баланс ВС'!I15)*100)</f>
        <v>0</v>
      </c>
      <c r="L14" s="671">
        <f>IF((L9+'Баланс ВС'!J15)*100=0,0,L9/(L9+'Баланс ВС'!J15)*100)</f>
        <v>0</v>
      </c>
      <c r="M14" s="670">
        <f>IF((M9+'Баланс ВС'!K15)*100=0,0,M9/(M9+'Баланс ВС'!K15)*100)</f>
        <v>0</v>
      </c>
      <c r="N14" s="671">
        <f>IF((N9+'Баланс ВС'!L15)*100=0,0,N9/(N9+'Баланс ВС'!L15)*100)</f>
        <v>0</v>
      </c>
      <c r="O14" s="670">
        <f>IF((O9+'Баланс ВС'!M15)*100=0,0,O9/(O9+'Баланс ВС'!M15)*100)</f>
        <v>0</v>
      </c>
      <c r="P14" s="671">
        <f>IF((P9+'Баланс ВС'!N15)*100=0,0,P9/(P9+'Баланс ВС'!N15)*100)</f>
        <v>0</v>
      </c>
      <c r="Q14" s="670">
        <f>IF((Q9+'Баланс ВС'!O15)*100=0,0,Q9/(Q9+'Баланс ВС'!O15)*100)</f>
        <v>0</v>
      </c>
      <c r="R14" s="671">
        <f>IF((R9+'Баланс ВС'!P15)*100=0,0,R9/(R9+'Баланс ВС'!P15)*100)</f>
        <v>0</v>
      </c>
    </row>
    <row r="15" ht="12.75">
      <c r="B15" s="48"/>
    </row>
    <row r="16" spans="2:19" ht="12.75" customHeight="1" thickBot="1">
      <c r="B16" s="965" t="s">
        <v>428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183"/>
    </row>
    <row r="17" spans="2:19" ht="12.75" customHeight="1">
      <c r="B17" s="964" t="s">
        <v>429</v>
      </c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183"/>
    </row>
    <row r="18" s="14" customFormat="1" ht="13.5" customHeight="1"/>
    <row r="19" s="14" customFormat="1" ht="12.75" customHeight="1"/>
    <row r="20" ht="12.75">
      <c r="B20" s="48"/>
    </row>
    <row r="21" ht="12.75">
      <c r="B21" s="48"/>
    </row>
    <row r="23" spans="5:18" ht="12.75"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</row>
    <row r="24" spans="5:18" ht="12.75"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6" spans="5:18" ht="12.75"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</row>
    <row r="27" spans="5:18" ht="12.75"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</sheetData>
  <sheetProtection formatRows="0"/>
  <mergeCells count="17">
    <mergeCell ref="B17:R17"/>
    <mergeCell ref="B16:R16"/>
    <mergeCell ref="B5:B7"/>
    <mergeCell ref="C5:C7"/>
    <mergeCell ref="D5:D7"/>
    <mergeCell ref="E6:F6"/>
    <mergeCell ref="I6:J6"/>
    <mergeCell ref="K6:L6"/>
    <mergeCell ref="M6:N6"/>
    <mergeCell ref="O6:P6"/>
    <mergeCell ref="G6:H6"/>
    <mergeCell ref="I5:R5"/>
    <mergeCell ref="E5:F5"/>
    <mergeCell ref="A1:R1"/>
    <mergeCell ref="G5:H5"/>
    <mergeCell ref="B3:R3"/>
    <mergeCell ref="Q6:R6"/>
  </mergeCells>
  <printOptions/>
  <pageMargins left="0.11811023622047245" right="0" top="0.35433070866141736" bottom="0.7480314960629921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_bal"/>
  <dimension ref="A1:AB37"/>
  <sheetViews>
    <sheetView zoomScale="90" zoomScaleNormal="9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0" sqref="O30"/>
    </sheetView>
  </sheetViews>
  <sheetFormatPr defaultColWidth="9.140625" defaultRowHeight="12.75"/>
  <cols>
    <col min="1" max="1" width="7.28125" style="27" customWidth="1"/>
    <col min="2" max="2" width="42.57421875" style="27" customWidth="1"/>
    <col min="3" max="16" width="13.7109375" style="27" customWidth="1"/>
    <col min="17" max="16384" width="9.140625" style="27" customWidth="1"/>
  </cols>
  <sheetData>
    <row r="1" spans="1:14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</row>
    <row r="2" spans="2:16" ht="20.25" customHeight="1" thickBot="1">
      <c r="B2" s="974" t="s">
        <v>307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431" t="s">
        <v>296</v>
      </c>
    </row>
    <row r="3" spans="1:16" ht="27.75" customHeight="1" thickBot="1">
      <c r="A3" s="840" t="s">
        <v>293</v>
      </c>
      <c r="B3" s="984" t="s">
        <v>294</v>
      </c>
      <c r="C3" s="840" t="s">
        <v>536</v>
      </c>
      <c r="D3" s="981"/>
      <c r="E3" s="840" t="s">
        <v>537</v>
      </c>
      <c r="F3" s="981"/>
      <c r="G3" s="975" t="s">
        <v>494</v>
      </c>
      <c r="H3" s="976"/>
      <c r="I3" s="976"/>
      <c r="J3" s="976"/>
      <c r="K3" s="976"/>
      <c r="L3" s="976"/>
      <c r="M3" s="976"/>
      <c r="N3" s="976"/>
      <c r="O3" s="976"/>
      <c r="P3" s="977"/>
    </row>
    <row r="4" spans="1:16" ht="19.5" customHeight="1">
      <c r="A4" s="982"/>
      <c r="B4" s="985"/>
      <c r="C4" s="987">
        <f>factYear</f>
        <v>2017</v>
      </c>
      <c r="D4" s="988"/>
      <c r="E4" s="987">
        <f>currYear</f>
        <v>2018</v>
      </c>
      <c r="F4" s="988"/>
      <c r="G4" s="978" t="str">
        <f>year1</f>
        <v>2019</v>
      </c>
      <c r="H4" s="979"/>
      <c r="I4" s="978">
        <f>year2</f>
        <v>2020</v>
      </c>
      <c r="J4" s="979"/>
      <c r="K4" s="978">
        <f>year3</f>
        <v>2021</v>
      </c>
      <c r="L4" s="979"/>
      <c r="M4" s="978">
        <f>year4</f>
        <v>2022</v>
      </c>
      <c r="N4" s="979"/>
      <c r="O4" s="978">
        <f>year5</f>
        <v>2023</v>
      </c>
      <c r="P4" s="979"/>
    </row>
    <row r="5" spans="1:16" ht="26.25" customHeight="1">
      <c r="A5" s="983"/>
      <c r="B5" s="986"/>
      <c r="C5" s="102" t="s">
        <v>308</v>
      </c>
      <c r="D5" s="96" t="s">
        <v>309</v>
      </c>
      <c r="E5" s="102" t="s">
        <v>308</v>
      </c>
      <c r="F5" s="96" t="s">
        <v>310</v>
      </c>
      <c r="G5" s="102" t="s">
        <v>8</v>
      </c>
      <c r="H5" s="96" t="s">
        <v>2</v>
      </c>
      <c r="I5" s="102" t="s">
        <v>8</v>
      </c>
      <c r="J5" s="96" t="s">
        <v>2</v>
      </c>
      <c r="K5" s="102" t="s">
        <v>8</v>
      </c>
      <c r="L5" s="96" t="s">
        <v>2</v>
      </c>
      <c r="M5" s="102" t="s">
        <v>8</v>
      </c>
      <c r="N5" s="96" t="s">
        <v>2</v>
      </c>
      <c r="O5" s="102" t="s">
        <v>8</v>
      </c>
      <c r="P5" s="96" t="s">
        <v>2</v>
      </c>
    </row>
    <row r="6" spans="1:16" ht="13.5" thickBot="1">
      <c r="A6" s="184">
        <v>1</v>
      </c>
      <c r="B6" s="185">
        <v>2</v>
      </c>
      <c r="C6" s="116">
        <v>3</v>
      </c>
      <c r="D6" s="90">
        <v>4</v>
      </c>
      <c r="E6" s="116">
        <v>5</v>
      </c>
      <c r="F6" s="90">
        <v>6</v>
      </c>
      <c r="G6" s="116">
        <v>7</v>
      </c>
      <c r="H6" s="90">
        <v>8</v>
      </c>
      <c r="I6" s="116">
        <v>9</v>
      </c>
      <c r="J6" s="90">
        <v>10</v>
      </c>
      <c r="K6" s="116">
        <v>11</v>
      </c>
      <c r="L6" s="90">
        <v>12</v>
      </c>
      <c r="M6" s="116">
        <v>13</v>
      </c>
      <c r="N6" s="90">
        <v>14</v>
      </c>
      <c r="O6" s="116">
        <v>15</v>
      </c>
      <c r="P6" s="90">
        <v>16</v>
      </c>
    </row>
    <row r="7" spans="1:16" ht="12.75">
      <c r="A7" s="92">
        <v>1</v>
      </c>
      <c r="B7" s="429" t="s">
        <v>541</v>
      </c>
      <c r="C7" s="645">
        <f aca="true" t="shared" si="0" ref="C7:P7">IF((C10+C11)=C8,(C10+C11),0)</f>
        <v>53.19</v>
      </c>
      <c r="D7" s="646">
        <f t="shared" si="0"/>
        <v>15.7</v>
      </c>
      <c r="E7" s="645">
        <f t="shared" si="0"/>
        <v>25.532</v>
      </c>
      <c r="F7" s="646">
        <f t="shared" si="0"/>
        <v>7</v>
      </c>
      <c r="G7" s="645">
        <f t="shared" si="0"/>
        <v>6</v>
      </c>
      <c r="H7" s="646">
        <f t="shared" si="0"/>
        <v>0</v>
      </c>
      <c r="I7" s="645">
        <f t="shared" si="0"/>
        <v>6</v>
      </c>
      <c r="J7" s="646">
        <f t="shared" si="0"/>
        <v>0</v>
      </c>
      <c r="K7" s="645">
        <f t="shared" si="0"/>
        <v>6</v>
      </c>
      <c r="L7" s="646">
        <f t="shared" si="0"/>
        <v>0</v>
      </c>
      <c r="M7" s="645">
        <f t="shared" si="0"/>
        <v>6</v>
      </c>
      <c r="N7" s="646">
        <f t="shared" si="0"/>
        <v>0</v>
      </c>
      <c r="O7" s="645">
        <f t="shared" si="0"/>
        <v>6</v>
      </c>
      <c r="P7" s="646">
        <f t="shared" si="0"/>
        <v>0</v>
      </c>
    </row>
    <row r="8" spans="1:16" ht="12.75">
      <c r="A8" s="92"/>
      <c r="B8" s="430" t="s">
        <v>527</v>
      </c>
      <c r="C8" s="647">
        <f>C14+C15</f>
        <v>53.19</v>
      </c>
      <c r="D8" s="648">
        <f aca="true" t="shared" si="1" ref="D8:P8">D14+D15</f>
        <v>15.7</v>
      </c>
      <c r="E8" s="647">
        <f t="shared" si="1"/>
        <v>25.532</v>
      </c>
      <c r="F8" s="648">
        <f t="shared" si="1"/>
        <v>7</v>
      </c>
      <c r="G8" s="647">
        <f t="shared" si="1"/>
        <v>6</v>
      </c>
      <c r="H8" s="648">
        <f t="shared" si="1"/>
        <v>0</v>
      </c>
      <c r="I8" s="647">
        <f t="shared" si="1"/>
        <v>6</v>
      </c>
      <c r="J8" s="648">
        <f t="shared" si="1"/>
        <v>0</v>
      </c>
      <c r="K8" s="647">
        <f t="shared" si="1"/>
        <v>6</v>
      </c>
      <c r="L8" s="648">
        <f t="shared" si="1"/>
        <v>0</v>
      </c>
      <c r="M8" s="647">
        <f t="shared" si="1"/>
        <v>6</v>
      </c>
      <c r="N8" s="648">
        <f t="shared" si="1"/>
        <v>0</v>
      </c>
      <c r="O8" s="647">
        <f t="shared" si="1"/>
        <v>6</v>
      </c>
      <c r="P8" s="648">
        <f t="shared" si="1"/>
        <v>0</v>
      </c>
    </row>
    <row r="9" spans="1:16" ht="12.75">
      <c r="A9" s="91"/>
      <c r="B9" s="144" t="s">
        <v>311</v>
      </c>
      <c r="C9" s="649"/>
      <c r="D9" s="650"/>
      <c r="E9" s="649"/>
      <c r="F9" s="650"/>
      <c r="G9" s="649"/>
      <c r="H9" s="650"/>
      <c r="I9" s="649"/>
      <c r="J9" s="650"/>
      <c r="K9" s="649"/>
      <c r="L9" s="650"/>
      <c r="M9" s="649"/>
      <c r="N9" s="650"/>
      <c r="O9" s="649"/>
      <c r="P9" s="650"/>
    </row>
    <row r="10" spans="1:16" ht="12.75">
      <c r="A10" s="91" t="s">
        <v>10</v>
      </c>
      <c r="B10" s="145" t="s">
        <v>312</v>
      </c>
      <c r="C10" s="651">
        <v>53.19</v>
      </c>
      <c r="D10" s="652">
        <f>'Собств источники'!D9</f>
        <v>15.7</v>
      </c>
      <c r="E10" s="651">
        <v>25.532</v>
      </c>
      <c r="F10" s="652">
        <f>'Собств источники'!F9</f>
        <v>7</v>
      </c>
      <c r="G10" s="653">
        <f>'Собств источники'!G9</f>
        <v>6</v>
      </c>
      <c r="H10" s="652">
        <f>'Собств источники'!H9</f>
        <v>0</v>
      </c>
      <c r="I10" s="653">
        <f>'Собств источники'!I9</f>
        <v>6</v>
      </c>
      <c r="J10" s="652">
        <f>'Собств источники'!J9</f>
        <v>0</v>
      </c>
      <c r="K10" s="653">
        <f>'Собств источники'!K9</f>
        <v>6</v>
      </c>
      <c r="L10" s="652">
        <f>'Собств источники'!L9</f>
        <v>0</v>
      </c>
      <c r="M10" s="653">
        <f>'Собств источники'!M9</f>
        <v>6</v>
      </c>
      <c r="N10" s="652">
        <f>'Собств источники'!N9</f>
        <v>0</v>
      </c>
      <c r="O10" s="653">
        <f>'Собств источники'!O9</f>
        <v>6</v>
      </c>
      <c r="P10" s="652">
        <f>'Собств источники'!P9</f>
        <v>0</v>
      </c>
    </row>
    <row r="11" spans="1:16" ht="12.75">
      <c r="A11" s="91" t="s">
        <v>20</v>
      </c>
      <c r="B11" s="145" t="s">
        <v>313</v>
      </c>
      <c r="C11" s="651"/>
      <c r="D11" s="652">
        <f>'покупная вода'!E7</f>
        <v>0</v>
      </c>
      <c r="E11" s="651"/>
      <c r="F11" s="652">
        <f>'покупная вода'!G7</f>
        <v>0</v>
      </c>
      <c r="G11" s="653">
        <f>'покупная вода'!H7</f>
        <v>0</v>
      </c>
      <c r="H11" s="652">
        <f>'покупная вода'!I7</f>
        <v>0</v>
      </c>
      <c r="I11" s="653">
        <f>'покупная вода'!L7</f>
        <v>0</v>
      </c>
      <c r="J11" s="652">
        <f>'покупная вода'!M7</f>
        <v>0</v>
      </c>
      <c r="K11" s="653">
        <f>'покупная вода'!P7</f>
        <v>0</v>
      </c>
      <c r="L11" s="652">
        <f>'покупная вода'!Q7</f>
        <v>0</v>
      </c>
      <c r="M11" s="653">
        <f>'покупная вода'!T7</f>
        <v>0</v>
      </c>
      <c r="N11" s="652">
        <f>'покупная вода'!U7</f>
        <v>0</v>
      </c>
      <c r="O11" s="653">
        <f>'покупная вода'!X7</f>
        <v>0</v>
      </c>
      <c r="P11" s="652">
        <f>'покупная вода'!Y7</f>
        <v>0</v>
      </c>
    </row>
    <row r="12" spans="1:16" ht="17.25" customHeight="1">
      <c r="A12" s="91" t="s">
        <v>314</v>
      </c>
      <c r="B12" s="437" t="s">
        <v>556</v>
      </c>
      <c r="C12" s="653">
        <f>C15+Потери!E11+Потери!E12</f>
        <v>53.19</v>
      </c>
      <c r="D12" s="652">
        <f>D15+Потери!F11+Потери!F12</f>
        <v>15.7</v>
      </c>
      <c r="E12" s="653">
        <f>E15+Потери!G11+Потери!G12</f>
        <v>25.532</v>
      </c>
      <c r="F12" s="652">
        <f>F15+Потери!H11+Потери!H12</f>
        <v>7</v>
      </c>
      <c r="G12" s="653">
        <f>G15+Потери!I11+Потери!I12</f>
        <v>6</v>
      </c>
      <c r="H12" s="652">
        <f>H15+Потери!J11+Потери!J12</f>
        <v>0</v>
      </c>
      <c r="I12" s="653">
        <f>I15+Потери!K11+Потери!K12</f>
        <v>6</v>
      </c>
      <c r="J12" s="652">
        <f>J15+Потери!L11+Потери!L12</f>
        <v>0</v>
      </c>
      <c r="K12" s="653">
        <f>K15+Потери!M11+Потери!M12</f>
        <v>6</v>
      </c>
      <c r="L12" s="652">
        <f>L15+Потери!N11+Потери!N12</f>
        <v>0</v>
      </c>
      <c r="M12" s="653">
        <f>M15+Потери!O11+Потери!O12</f>
        <v>6</v>
      </c>
      <c r="N12" s="652">
        <f>N15+Потери!P11+Потери!P12</f>
        <v>0</v>
      </c>
      <c r="O12" s="653">
        <f>O15+Потери!Q11+Потери!Q12</f>
        <v>6</v>
      </c>
      <c r="P12" s="652">
        <f>P15+Потери!R11+Потери!R12</f>
        <v>0</v>
      </c>
    </row>
    <row r="13" spans="1:16" ht="12.75">
      <c r="A13" s="91" t="s">
        <v>76</v>
      </c>
      <c r="B13" s="438" t="s">
        <v>557</v>
      </c>
      <c r="C13" s="651"/>
      <c r="D13" s="654"/>
      <c r="E13" s="651"/>
      <c r="F13" s="654"/>
      <c r="G13" s="651"/>
      <c r="H13" s="654"/>
      <c r="I13" s="651"/>
      <c r="J13" s="654"/>
      <c r="K13" s="651"/>
      <c r="L13" s="654"/>
      <c r="M13" s="651"/>
      <c r="N13" s="654"/>
      <c r="O13" s="651"/>
      <c r="P13" s="654"/>
    </row>
    <row r="14" spans="1:16" ht="16.5" customHeight="1">
      <c r="A14" s="91" t="s">
        <v>57</v>
      </c>
      <c r="B14" s="439" t="s">
        <v>538</v>
      </c>
      <c r="C14" s="653">
        <f>Потери!E9</f>
        <v>3.19</v>
      </c>
      <c r="D14" s="652">
        <f>Потери!F9</f>
        <v>0</v>
      </c>
      <c r="E14" s="653">
        <f>Потери!G9</f>
        <v>1.532</v>
      </c>
      <c r="F14" s="652">
        <f>Потери!H9</f>
        <v>0</v>
      </c>
      <c r="G14" s="653">
        <f>Потери!I9</f>
        <v>0</v>
      </c>
      <c r="H14" s="652">
        <f>Потери!J9</f>
        <v>0</v>
      </c>
      <c r="I14" s="653">
        <f>Потери!K9</f>
        <v>0</v>
      </c>
      <c r="J14" s="652">
        <f>Потери!L9</f>
        <v>0</v>
      </c>
      <c r="K14" s="653">
        <f>Потери!M9</f>
        <v>0</v>
      </c>
      <c r="L14" s="652">
        <f>Потери!N9</f>
        <v>0</v>
      </c>
      <c r="M14" s="653">
        <f>Потери!O9</f>
        <v>0</v>
      </c>
      <c r="N14" s="652">
        <f>Потери!P9</f>
        <v>0</v>
      </c>
      <c r="O14" s="653">
        <f>Потери!Q9</f>
        <v>0</v>
      </c>
      <c r="P14" s="652">
        <f>Потери!R9</f>
        <v>0</v>
      </c>
    </row>
    <row r="15" spans="1:16" ht="18.75" customHeight="1">
      <c r="A15" s="91" t="s">
        <v>58</v>
      </c>
      <c r="B15" s="439" t="s">
        <v>315</v>
      </c>
      <c r="C15" s="653">
        <f>C25+C18</f>
        <v>50</v>
      </c>
      <c r="D15" s="652">
        <f>IF((D18+D25)=D16,(D18+D25),0)</f>
        <v>15.7</v>
      </c>
      <c r="E15" s="653">
        <f>IF((E18+E25)=E16,(E18+E25),0)</f>
        <v>24</v>
      </c>
      <c r="F15" s="652">
        <f>F18+F25</f>
        <v>7</v>
      </c>
      <c r="G15" s="653">
        <f>IF((G18+G25)=G16,(G18+G25),0)</f>
        <v>6</v>
      </c>
      <c r="H15" s="652">
        <f aca="true" t="shared" si="2" ref="H15:P15">IF((H18+H25)=H16,(H18+H25),0)</f>
        <v>0</v>
      </c>
      <c r="I15" s="653">
        <f t="shared" si="2"/>
        <v>6</v>
      </c>
      <c r="J15" s="652">
        <f t="shared" si="2"/>
        <v>0</v>
      </c>
      <c r="K15" s="653">
        <f t="shared" si="2"/>
        <v>6</v>
      </c>
      <c r="L15" s="652">
        <f t="shared" si="2"/>
        <v>0</v>
      </c>
      <c r="M15" s="653">
        <f t="shared" si="2"/>
        <v>6</v>
      </c>
      <c r="N15" s="652">
        <f>IF((N18+N25)=N16,(N18+N25),0)</f>
        <v>0</v>
      </c>
      <c r="O15" s="653">
        <f t="shared" si="2"/>
        <v>6</v>
      </c>
      <c r="P15" s="652">
        <f t="shared" si="2"/>
        <v>0</v>
      </c>
    </row>
    <row r="16" spans="1:16" ht="12.75">
      <c r="A16" s="91"/>
      <c r="B16" s="430" t="s">
        <v>527</v>
      </c>
      <c r="C16" s="655"/>
      <c r="D16" s="656">
        <f>'Объем Пр'!H9</f>
        <v>15.7</v>
      </c>
      <c r="E16" s="647">
        <f>'Объем Пр'!I9</f>
        <v>24</v>
      </c>
      <c r="F16" s="657"/>
      <c r="G16" s="658">
        <f>'Объем Пр'!J9</f>
        <v>6</v>
      </c>
      <c r="H16" s="656">
        <f>'Объем Гк'!J9</f>
        <v>0</v>
      </c>
      <c r="I16" s="658">
        <f>'Объем Пр'!K9</f>
        <v>6</v>
      </c>
      <c r="J16" s="656">
        <f>'Объем Гк'!K9</f>
        <v>0</v>
      </c>
      <c r="K16" s="658">
        <f>'Объем Пр'!L9</f>
        <v>6</v>
      </c>
      <c r="L16" s="656">
        <f>'Объем Гк'!L9</f>
        <v>0</v>
      </c>
      <c r="M16" s="658">
        <f>'Объем Пр'!M9</f>
        <v>6</v>
      </c>
      <c r="N16" s="656">
        <f>'Объем Гк'!M9</f>
        <v>0</v>
      </c>
      <c r="O16" s="658">
        <f>'Объем Пр'!N9</f>
        <v>6</v>
      </c>
      <c r="P16" s="656">
        <f>'Объем Гк'!N9</f>
        <v>0</v>
      </c>
    </row>
    <row r="17" spans="1:16" ht="12.75">
      <c r="A17" s="91"/>
      <c r="B17" s="146" t="s">
        <v>311</v>
      </c>
      <c r="C17" s="649"/>
      <c r="D17" s="650"/>
      <c r="E17" s="649"/>
      <c r="F17" s="650"/>
      <c r="G17" s="649"/>
      <c r="H17" s="650"/>
      <c r="I17" s="649"/>
      <c r="J17" s="650"/>
      <c r="K17" s="649"/>
      <c r="L17" s="650"/>
      <c r="M17" s="649"/>
      <c r="N17" s="650"/>
      <c r="O17" s="649"/>
      <c r="P17" s="650"/>
    </row>
    <row r="18" spans="1:16" ht="25.5">
      <c r="A18" s="91" t="s">
        <v>80</v>
      </c>
      <c r="B18" s="440" t="s">
        <v>316</v>
      </c>
      <c r="C18" s="653">
        <f>C20+C21+C22+C23+C24</f>
        <v>0</v>
      </c>
      <c r="D18" s="652">
        <f aca="true" t="shared" si="3" ref="D18:P18">D20+D21+D22+D23+D24</f>
        <v>0</v>
      </c>
      <c r="E18" s="653">
        <f t="shared" si="3"/>
        <v>0</v>
      </c>
      <c r="F18" s="652">
        <f t="shared" si="3"/>
        <v>0</v>
      </c>
      <c r="G18" s="653">
        <f t="shared" si="3"/>
        <v>0</v>
      </c>
      <c r="H18" s="652">
        <f t="shared" si="3"/>
        <v>0</v>
      </c>
      <c r="I18" s="653">
        <f t="shared" si="3"/>
        <v>0</v>
      </c>
      <c r="J18" s="652">
        <f t="shared" si="3"/>
        <v>0</v>
      </c>
      <c r="K18" s="653">
        <f t="shared" si="3"/>
        <v>0</v>
      </c>
      <c r="L18" s="652">
        <f t="shared" si="3"/>
        <v>0</v>
      </c>
      <c r="M18" s="653">
        <f t="shared" si="3"/>
        <v>0</v>
      </c>
      <c r="N18" s="652">
        <f t="shared" si="3"/>
        <v>0</v>
      </c>
      <c r="O18" s="653">
        <f t="shared" si="3"/>
        <v>0</v>
      </c>
      <c r="P18" s="652">
        <f t="shared" si="3"/>
        <v>0</v>
      </c>
    </row>
    <row r="19" spans="1:16" ht="12.75">
      <c r="A19" s="91"/>
      <c r="B19" s="146" t="s">
        <v>311</v>
      </c>
      <c r="C19" s="659"/>
      <c r="D19" s="660"/>
      <c r="E19" s="659"/>
      <c r="F19" s="660"/>
      <c r="G19" s="659"/>
      <c r="H19" s="660"/>
      <c r="I19" s="659"/>
      <c r="J19" s="660"/>
      <c r="K19" s="659"/>
      <c r="L19" s="660"/>
      <c r="M19" s="659"/>
      <c r="N19" s="660"/>
      <c r="O19" s="659"/>
      <c r="P19" s="660"/>
    </row>
    <row r="20" spans="1:16" ht="12.75">
      <c r="A20" s="91" t="s">
        <v>531</v>
      </c>
      <c r="B20" s="441" t="s">
        <v>530</v>
      </c>
      <c r="C20" s="651"/>
      <c r="D20" s="654"/>
      <c r="E20" s="651"/>
      <c r="F20" s="654"/>
      <c r="G20" s="651"/>
      <c r="H20" s="654"/>
      <c r="I20" s="651"/>
      <c r="J20" s="654"/>
      <c r="K20" s="651"/>
      <c r="L20" s="654"/>
      <c r="M20" s="651"/>
      <c r="N20" s="654"/>
      <c r="O20" s="651"/>
      <c r="P20" s="654"/>
    </row>
    <row r="21" spans="1:16" ht="12.75">
      <c r="A21" s="91" t="s">
        <v>532</v>
      </c>
      <c r="B21" s="441" t="s">
        <v>529</v>
      </c>
      <c r="C21" s="651"/>
      <c r="D21" s="654"/>
      <c r="E21" s="651"/>
      <c r="F21" s="654"/>
      <c r="G21" s="651"/>
      <c r="H21" s="654"/>
      <c r="I21" s="651"/>
      <c r="J21" s="654"/>
      <c r="K21" s="651"/>
      <c r="L21" s="654"/>
      <c r="M21" s="651"/>
      <c r="N21" s="654"/>
      <c r="O21" s="651"/>
      <c r="P21" s="654"/>
    </row>
    <row r="22" spans="1:16" ht="25.5">
      <c r="A22" s="91" t="s">
        <v>533</v>
      </c>
      <c r="B22" s="441" t="s">
        <v>528</v>
      </c>
      <c r="C22" s="651"/>
      <c r="D22" s="654"/>
      <c r="E22" s="651"/>
      <c r="F22" s="654"/>
      <c r="G22" s="651"/>
      <c r="H22" s="654"/>
      <c r="I22" s="651"/>
      <c r="J22" s="654"/>
      <c r="K22" s="651"/>
      <c r="L22" s="654"/>
      <c r="M22" s="651"/>
      <c r="N22" s="654"/>
      <c r="O22" s="651"/>
      <c r="P22" s="654"/>
    </row>
    <row r="23" spans="1:16" ht="25.5">
      <c r="A23" s="91" t="s">
        <v>534</v>
      </c>
      <c r="B23" s="441" t="s">
        <v>535</v>
      </c>
      <c r="C23" s="651"/>
      <c r="D23" s="654"/>
      <c r="E23" s="651"/>
      <c r="F23" s="654"/>
      <c r="G23" s="651"/>
      <c r="H23" s="654"/>
      <c r="I23" s="651"/>
      <c r="J23" s="654"/>
      <c r="K23" s="651"/>
      <c r="L23" s="654"/>
      <c r="M23" s="651"/>
      <c r="N23" s="654"/>
      <c r="O23" s="651"/>
      <c r="P23" s="654"/>
    </row>
    <row r="24" spans="1:16" ht="12.75">
      <c r="A24" s="91" t="s">
        <v>561</v>
      </c>
      <c r="B24" s="441" t="s">
        <v>562</v>
      </c>
      <c r="C24" s="651"/>
      <c r="D24" s="654"/>
      <c r="E24" s="651"/>
      <c r="F24" s="654"/>
      <c r="G24" s="651"/>
      <c r="H24" s="654"/>
      <c r="I24" s="651"/>
      <c r="J24" s="654"/>
      <c r="K24" s="651"/>
      <c r="L24" s="654"/>
      <c r="M24" s="651"/>
      <c r="N24" s="654"/>
      <c r="O24" s="651"/>
      <c r="P24" s="654"/>
    </row>
    <row r="25" spans="1:16" ht="21.75" customHeight="1">
      <c r="A25" s="91" t="s">
        <v>81</v>
      </c>
      <c r="B25" s="442" t="s">
        <v>317</v>
      </c>
      <c r="C25" s="653">
        <f>SUM(C27:C30)</f>
        <v>50</v>
      </c>
      <c r="D25" s="652">
        <f aca="true" t="shared" si="4" ref="D25:N25">SUM(D27:D30)</f>
        <v>15.7</v>
      </c>
      <c r="E25" s="653">
        <f t="shared" si="4"/>
        <v>24</v>
      </c>
      <c r="F25" s="652">
        <f t="shared" si="4"/>
        <v>7</v>
      </c>
      <c r="G25" s="653">
        <f t="shared" si="4"/>
        <v>6</v>
      </c>
      <c r="H25" s="652">
        <f t="shared" si="4"/>
        <v>0</v>
      </c>
      <c r="I25" s="653">
        <f t="shared" si="4"/>
        <v>6</v>
      </c>
      <c r="J25" s="652">
        <f t="shared" si="4"/>
        <v>0</v>
      </c>
      <c r="K25" s="653">
        <f t="shared" si="4"/>
        <v>6</v>
      </c>
      <c r="L25" s="652">
        <f t="shared" si="4"/>
        <v>0</v>
      </c>
      <c r="M25" s="653">
        <f t="shared" si="4"/>
        <v>6</v>
      </c>
      <c r="N25" s="652">
        <f t="shared" si="4"/>
        <v>0</v>
      </c>
      <c r="O25" s="653">
        <f>SUM(O27:O30)</f>
        <v>6</v>
      </c>
      <c r="P25" s="652">
        <f>SUM(P27:P30)</f>
        <v>0</v>
      </c>
    </row>
    <row r="26" spans="1:16" ht="12.75">
      <c r="A26" s="91"/>
      <c r="B26" s="146" t="s">
        <v>311</v>
      </c>
      <c r="C26" s="649"/>
      <c r="D26" s="650"/>
      <c r="E26" s="649"/>
      <c r="F26" s="650"/>
      <c r="G26" s="649"/>
      <c r="H26" s="650"/>
      <c r="I26" s="649"/>
      <c r="J26" s="650"/>
      <c r="K26" s="649"/>
      <c r="L26" s="650"/>
      <c r="M26" s="649"/>
      <c r="N26" s="650"/>
      <c r="O26" s="649"/>
      <c r="P26" s="650"/>
    </row>
    <row r="27" spans="1:16" ht="12.75">
      <c r="A27" s="91" t="s">
        <v>318</v>
      </c>
      <c r="B27" s="443" t="s">
        <v>319</v>
      </c>
      <c r="C27" s="661"/>
      <c r="D27" s="662"/>
      <c r="E27" s="661"/>
      <c r="F27" s="662"/>
      <c r="G27" s="661"/>
      <c r="H27" s="662"/>
      <c r="I27" s="661"/>
      <c r="J27" s="662"/>
      <c r="K27" s="661"/>
      <c r="L27" s="662"/>
      <c r="M27" s="661"/>
      <c r="N27" s="662"/>
      <c r="O27" s="661"/>
      <c r="P27" s="662"/>
    </row>
    <row r="28" spans="1:16" ht="12.75">
      <c r="A28" s="91" t="s">
        <v>320</v>
      </c>
      <c r="B28" s="443" t="s">
        <v>321</v>
      </c>
      <c r="C28" s="661"/>
      <c r="D28" s="662"/>
      <c r="E28" s="661"/>
      <c r="F28" s="662"/>
      <c r="G28" s="661"/>
      <c r="H28" s="662"/>
      <c r="I28" s="661"/>
      <c r="J28" s="662"/>
      <c r="K28" s="661"/>
      <c r="L28" s="662"/>
      <c r="M28" s="661"/>
      <c r="N28" s="662"/>
      <c r="O28" s="661"/>
      <c r="P28" s="662"/>
    </row>
    <row r="29" spans="1:16" ht="12.75">
      <c r="A29" s="91" t="s">
        <v>322</v>
      </c>
      <c r="B29" s="443" t="s">
        <v>323</v>
      </c>
      <c r="C29" s="661">
        <v>50</v>
      </c>
      <c r="D29" s="662">
        <v>15.7</v>
      </c>
      <c r="E29" s="661">
        <v>24</v>
      </c>
      <c r="F29" s="662">
        <v>7</v>
      </c>
      <c r="G29" s="661">
        <v>6</v>
      </c>
      <c r="H29" s="662"/>
      <c r="I29" s="661">
        <v>6</v>
      </c>
      <c r="J29" s="662"/>
      <c r="K29" s="661">
        <v>6</v>
      </c>
      <c r="L29" s="662"/>
      <c r="M29" s="661">
        <v>6</v>
      </c>
      <c r="N29" s="662"/>
      <c r="O29" s="661">
        <v>6</v>
      </c>
      <c r="P29" s="662"/>
    </row>
    <row r="30" spans="1:16" ht="12.75">
      <c r="A30" s="91" t="s">
        <v>324</v>
      </c>
      <c r="B30" s="443" t="s">
        <v>325</v>
      </c>
      <c r="C30" s="653">
        <f aca="true" t="shared" si="5" ref="C30:N30">SUM(C31:C33)</f>
        <v>0</v>
      </c>
      <c r="D30" s="652">
        <f t="shared" si="5"/>
        <v>0</v>
      </c>
      <c r="E30" s="653">
        <f t="shared" si="5"/>
        <v>0</v>
      </c>
      <c r="F30" s="652">
        <f t="shared" si="5"/>
        <v>0</v>
      </c>
      <c r="G30" s="653">
        <f t="shared" si="5"/>
        <v>0</v>
      </c>
      <c r="H30" s="652">
        <f t="shared" si="5"/>
        <v>0</v>
      </c>
      <c r="I30" s="653">
        <f t="shared" si="5"/>
        <v>0</v>
      </c>
      <c r="J30" s="652">
        <f t="shared" si="5"/>
        <v>0</v>
      </c>
      <c r="K30" s="653">
        <f t="shared" si="5"/>
        <v>0</v>
      </c>
      <c r="L30" s="652">
        <f t="shared" si="5"/>
        <v>0</v>
      </c>
      <c r="M30" s="653">
        <f t="shared" si="5"/>
        <v>0</v>
      </c>
      <c r="N30" s="652">
        <f t="shared" si="5"/>
        <v>0</v>
      </c>
      <c r="O30" s="653">
        <f>SUM(O31:O33)</f>
        <v>0</v>
      </c>
      <c r="P30" s="652">
        <f>SUM(P31:P33)</f>
        <v>0</v>
      </c>
    </row>
    <row r="31" spans="1:16" ht="12.75">
      <c r="A31" s="91"/>
      <c r="B31" s="146" t="s">
        <v>311</v>
      </c>
      <c r="C31" s="649"/>
      <c r="D31" s="650"/>
      <c r="E31" s="649"/>
      <c r="F31" s="650"/>
      <c r="G31" s="649"/>
      <c r="H31" s="650"/>
      <c r="I31" s="649"/>
      <c r="J31" s="650"/>
      <c r="K31" s="649"/>
      <c r="L31" s="650"/>
      <c r="M31" s="649"/>
      <c r="N31" s="650"/>
      <c r="O31" s="649"/>
      <c r="P31" s="650"/>
    </row>
    <row r="32" spans="1:16" ht="13.5" thickBot="1">
      <c r="A32" s="91" t="s">
        <v>326</v>
      </c>
      <c r="B32" s="222"/>
      <c r="C32" s="663"/>
      <c r="D32" s="664"/>
      <c r="E32" s="663"/>
      <c r="F32" s="664"/>
      <c r="G32" s="663"/>
      <c r="H32" s="664"/>
      <c r="I32" s="663"/>
      <c r="J32" s="664"/>
      <c r="K32" s="663"/>
      <c r="L32" s="664"/>
      <c r="M32" s="663"/>
      <c r="N32" s="664"/>
      <c r="O32" s="663"/>
      <c r="P32" s="664"/>
    </row>
    <row r="33" spans="1:28" s="68" customFormat="1" ht="13.5" thickBot="1">
      <c r="A33" s="971" t="s">
        <v>335</v>
      </c>
      <c r="B33" s="890"/>
      <c r="C33" s="889"/>
      <c r="D33" s="889"/>
      <c r="E33" s="890"/>
      <c r="F33" s="890"/>
      <c r="G33" s="889"/>
      <c r="H33" s="889"/>
      <c r="I33" s="889"/>
      <c r="J33" s="889"/>
      <c r="K33" s="889"/>
      <c r="L33" s="889"/>
      <c r="M33" s="889"/>
      <c r="N33" s="972"/>
      <c r="O33" s="973"/>
      <c r="P33" s="972"/>
      <c r="T33" s="16"/>
      <c r="U33" s="16"/>
      <c r="V33" s="16"/>
      <c r="W33" s="16"/>
      <c r="X33" s="16"/>
      <c r="Y33" s="16"/>
      <c r="Z33" s="67"/>
      <c r="AA33" s="67"/>
      <c r="AB33" s="67"/>
    </row>
    <row r="34" spans="1:28" s="68" customFormat="1" ht="0.75" customHeight="1" thickBot="1">
      <c r="A34" s="189"/>
      <c r="B34" s="190"/>
      <c r="C34" s="176"/>
      <c r="D34" s="191"/>
      <c r="E34" s="176"/>
      <c r="F34" s="191"/>
      <c r="G34" s="434"/>
      <c r="H34" s="435"/>
      <c r="I34" s="435"/>
      <c r="J34" s="435"/>
      <c r="K34" s="435"/>
      <c r="L34" s="435"/>
      <c r="M34" s="435"/>
      <c r="N34" s="43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67"/>
      <c r="AA34" s="67"/>
      <c r="AB34" s="67"/>
    </row>
    <row r="35" ht="12.75">
      <c r="A35" s="147"/>
    </row>
    <row r="36" spans="1:15" ht="12.75" customHeight="1" thickBot="1">
      <c r="A36" s="965" t="s">
        <v>428</v>
      </c>
      <c r="B36" s="965"/>
      <c r="C36" s="965"/>
      <c r="D36" s="965"/>
      <c r="E36" s="965"/>
      <c r="F36" s="965"/>
      <c r="G36" s="965"/>
      <c r="H36" s="965"/>
      <c r="I36" s="965"/>
      <c r="J36" s="965"/>
      <c r="K36" s="965"/>
      <c r="L36" s="965"/>
      <c r="M36" s="965"/>
      <c r="N36" s="965"/>
      <c r="O36" s="16"/>
    </row>
    <row r="37" spans="1:7" s="81" customFormat="1" ht="12.75" customHeight="1">
      <c r="A37" s="980"/>
      <c r="B37" s="980"/>
      <c r="C37" s="980"/>
      <c r="D37" s="980"/>
      <c r="E37" s="980"/>
      <c r="F37" s="980"/>
      <c r="G37" s="980"/>
    </row>
  </sheetData>
  <sheetProtection password="C8D1" sheet="1" scenarios="1" formatRows="0"/>
  <mergeCells count="18">
    <mergeCell ref="A37:G37"/>
    <mergeCell ref="C3:D3"/>
    <mergeCell ref="E3:F3"/>
    <mergeCell ref="A3:A5"/>
    <mergeCell ref="B3:B5"/>
    <mergeCell ref="C4:D4"/>
    <mergeCell ref="E4:F4"/>
    <mergeCell ref="G4:H4"/>
    <mergeCell ref="A36:N36"/>
    <mergeCell ref="I4:J4"/>
    <mergeCell ref="A1:N1"/>
    <mergeCell ref="A33:N33"/>
    <mergeCell ref="O33:P33"/>
    <mergeCell ref="B2:O2"/>
    <mergeCell ref="G3:P3"/>
    <mergeCell ref="K4:L4"/>
    <mergeCell ref="M4:N4"/>
    <mergeCell ref="O4:P4"/>
  </mergeCells>
  <hyperlinks>
    <hyperlink ref="A33" tooltip="Кликните по гиперссылке для добавления новой строки" display="Добавить строки"/>
  </hyperlinks>
  <printOptions/>
  <pageMargins left="0" right="0" top="0" bottom="0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_buy"/>
  <dimension ref="A1:AA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0.85546875" style="27" customWidth="1"/>
    <col min="2" max="2" width="24.28125" style="27" customWidth="1"/>
    <col min="3" max="3" width="16.7109375" style="27" customWidth="1"/>
    <col min="4" max="7" width="11.421875" style="27" customWidth="1"/>
    <col min="8" max="9" width="13.28125" style="27" customWidth="1"/>
    <col min="10" max="10" width="13.140625" style="27" customWidth="1"/>
    <col min="11" max="11" width="12.57421875" style="27" customWidth="1"/>
    <col min="12" max="12" width="13.28125" style="27" customWidth="1"/>
    <col min="13" max="13" width="13.421875" style="27" customWidth="1"/>
    <col min="14" max="14" width="12.421875" style="27" customWidth="1"/>
    <col min="15" max="23" width="13.7109375" style="27" customWidth="1"/>
    <col min="24" max="25" width="13.140625" style="27" customWidth="1"/>
    <col min="26" max="26" width="13.28125" style="27" customWidth="1"/>
    <col min="27" max="27" width="13.7109375" style="27" customWidth="1"/>
    <col min="28" max="16384" width="9.140625" style="27" customWidth="1"/>
  </cols>
  <sheetData>
    <row r="1" spans="2:27" ht="12.75">
      <c r="B1" s="839" t="str">
        <f>org</f>
        <v>Муниципальное предприятие по эксплуатации систем водоснабжения и водоотведения "Водоканал" г.Великие Луки</v>
      </c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</row>
    <row r="2" spans="2:27" ht="15">
      <c r="B2" s="807" t="s">
        <v>187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</row>
    <row r="3" spans="2:27" ht="13.5" thickBot="1">
      <c r="B3" s="1000"/>
      <c r="C3" s="1000"/>
      <c r="D3" s="1000"/>
      <c r="E3" s="1000"/>
      <c r="F3" s="1000"/>
      <c r="G3" s="1000"/>
      <c r="AA3" s="34" t="s">
        <v>109</v>
      </c>
    </row>
    <row r="4" spans="2:27" ht="22.5" customHeight="1" thickBot="1">
      <c r="B4" s="840" t="s">
        <v>6</v>
      </c>
      <c r="C4" s="818" t="s">
        <v>7</v>
      </c>
      <c r="D4" s="998" t="s">
        <v>536</v>
      </c>
      <c r="E4" s="999"/>
      <c r="F4" s="998" t="s">
        <v>537</v>
      </c>
      <c r="G4" s="999"/>
      <c r="H4" s="989" t="s">
        <v>571</v>
      </c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90"/>
    </row>
    <row r="5" spans="2:27" ht="22.5" customHeight="1">
      <c r="B5" s="983"/>
      <c r="C5" s="970"/>
      <c r="D5" s="995">
        <f>Заголовок!C14</f>
        <v>2017</v>
      </c>
      <c r="E5" s="996"/>
      <c r="F5" s="995">
        <f>Заголовок!C15</f>
        <v>2018</v>
      </c>
      <c r="G5" s="996"/>
      <c r="H5" s="997" t="str">
        <f>Заголовок!D17</f>
        <v>01.01.2019-30.06.2019</v>
      </c>
      <c r="I5" s="992"/>
      <c r="J5" s="993" t="str">
        <f>Заголовок!E17</f>
        <v>01.07.2019-31.12.2019</v>
      </c>
      <c r="K5" s="994"/>
      <c r="L5" s="991" t="str">
        <f>Заголовок!D18</f>
        <v>01.01.2020-30.06.2020</v>
      </c>
      <c r="M5" s="992"/>
      <c r="N5" s="993" t="str">
        <f>Заголовок!E18</f>
        <v>01.07.2020-31.12.2020</v>
      </c>
      <c r="O5" s="994"/>
      <c r="P5" s="991" t="str">
        <f>Заголовок!D19</f>
        <v>01.01.2021-30.06.2021</v>
      </c>
      <c r="Q5" s="992"/>
      <c r="R5" s="993" t="str">
        <f>Заголовок!E19</f>
        <v>01.07.2021-31.12.2021</v>
      </c>
      <c r="S5" s="994"/>
      <c r="T5" s="991" t="str">
        <f>Заголовок!D20</f>
        <v>01.01.2022-30.06.2022</v>
      </c>
      <c r="U5" s="992"/>
      <c r="V5" s="993" t="str">
        <f>Заголовок!E20</f>
        <v>01.07.2022-31.12.2022</v>
      </c>
      <c r="W5" s="994"/>
      <c r="X5" s="991" t="str">
        <f>Заголовок!D21</f>
        <v>01.01.2023-30.06.2023</v>
      </c>
      <c r="Y5" s="992"/>
      <c r="Z5" s="993" t="str">
        <f>Заголовок!E21</f>
        <v>01.07.2023-31.12.2023</v>
      </c>
      <c r="AA5" s="994"/>
    </row>
    <row r="6" spans="2:27" ht="30" customHeight="1" thickBot="1">
      <c r="B6" s="841"/>
      <c r="C6" s="842"/>
      <c r="D6" s="466" t="s">
        <v>190</v>
      </c>
      <c r="E6" s="467" t="s">
        <v>191</v>
      </c>
      <c r="F6" s="466" t="s">
        <v>190</v>
      </c>
      <c r="G6" s="467" t="s">
        <v>192</v>
      </c>
      <c r="H6" s="468" t="s">
        <v>1</v>
      </c>
      <c r="I6" s="465" t="s">
        <v>2</v>
      </c>
      <c r="J6" s="465" t="s">
        <v>1</v>
      </c>
      <c r="K6" s="469" t="s">
        <v>2</v>
      </c>
      <c r="L6" s="470" t="s">
        <v>1</v>
      </c>
      <c r="M6" s="465" t="s">
        <v>2</v>
      </c>
      <c r="N6" s="465" t="s">
        <v>1</v>
      </c>
      <c r="O6" s="469" t="s">
        <v>2</v>
      </c>
      <c r="P6" s="470" t="s">
        <v>1</v>
      </c>
      <c r="Q6" s="465" t="s">
        <v>2</v>
      </c>
      <c r="R6" s="465" t="s">
        <v>1</v>
      </c>
      <c r="S6" s="469" t="s">
        <v>2</v>
      </c>
      <c r="T6" s="470" t="s">
        <v>1</v>
      </c>
      <c r="U6" s="465" t="s">
        <v>2</v>
      </c>
      <c r="V6" s="465" t="s">
        <v>1</v>
      </c>
      <c r="W6" s="469" t="s">
        <v>2</v>
      </c>
      <c r="X6" s="470" t="s">
        <v>1</v>
      </c>
      <c r="Y6" s="465" t="s">
        <v>2</v>
      </c>
      <c r="Z6" s="465" t="s">
        <v>1</v>
      </c>
      <c r="AA6" s="469" t="s">
        <v>2</v>
      </c>
    </row>
    <row r="7" spans="2:27" s="141" customFormat="1" ht="21" customHeight="1">
      <c r="B7" s="471" t="s">
        <v>648</v>
      </c>
      <c r="C7" s="472" t="s">
        <v>193</v>
      </c>
      <c r="D7" s="521">
        <f aca="true" t="shared" si="0" ref="D7:AA7">SUMIF($B9:$B15,"Объем холодной воды",D9:D15)</f>
        <v>0</v>
      </c>
      <c r="E7" s="523">
        <f t="shared" si="0"/>
        <v>0</v>
      </c>
      <c r="F7" s="521">
        <f t="shared" si="0"/>
        <v>0</v>
      </c>
      <c r="G7" s="523">
        <f t="shared" si="0"/>
        <v>0</v>
      </c>
      <c r="H7" s="534">
        <f t="shared" si="0"/>
        <v>0</v>
      </c>
      <c r="I7" s="522">
        <f t="shared" si="0"/>
        <v>0</v>
      </c>
      <c r="J7" s="522">
        <f t="shared" si="0"/>
        <v>0</v>
      </c>
      <c r="K7" s="523">
        <f t="shared" si="0"/>
        <v>0</v>
      </c>
      <c r="L7" s="521">
        <f t="shared" si="0"/>
        <v>0</v>
      </c>
      <c r="M7" s="706">
        <f t="shared" si="0"/>
        <v>0</v>
      </c>
      <c r="N7" s="706">
        <f t="shared" si="0"/>
        <v>0</v>
      </c>
      <c r="O7" s="707">
        <f t="shared" si="0"/>
        <v>0</v>
      </c>
      <c r="P7" s="708">
        <f t="shared" si="0"/>
        <v>0</v>
      </c>
      <c r="Q7" s="706">
        <f t="shared" si="0"/>
        <v>0</v>
      </c>
      <c r="R7" s="706">
        <f t="shared" si="0"/>
        <v>0</v>
      </c>
      <c r="S7" s="707">
        <f t="shared" si="0"/>
        <v>0</v>
      </c>
      <c r="T7" s="708">
        <f t="shared" si="0"/>
        <v>0</v>
      </c>
      <c r="U7" s="706">
        <f t="shared" si="0"/>
        <v>0</v>
      </c>
      <c r="V7" s="706">
        <f t="shared" si="0"/>
        <v>0</v>
      </c>
      <c r="W7" s="707">
        <f t="shared" si="0"/>
        <v>0</v>
      </c>
      <c r="X7" s="708">
        <f t="shared" si="0"/>
        <v>0</v>
      </c>
      <c r="Y7" s="706">
        <f t="shared" si="0"/>
        <v>0</v>
      </c>
      <c r="Z7" s="706">
        <f t="shared" si="0"/>
        <v>0</v>
      </c>
      <c r="AA7" s="707">
        <f t="shared" si="0"/>
        <v>0</v>
      </c>
    </row>
    <row r="8" spans="2:27" s="141" customFormat="1" ht="21" customHeight="1" thickBot="1">
      <c r="B8" s="473" t="s">
        <v>379</v>
      </c>
      <c r="C8" s="474" t="s">
        <v>53</v>
      </c>
      <c r="D8" s="524">
        <f aca="true" t="shared" si="1" ref="D8:AA8">SUMIF($B9:$B15,"Затраты на холодную воду",D9:D15)</f>
        <v>0</v>
      </c>
      <c r="E8" s="526">
        <f t="shared" si="1"/>
        <v>0</v>
      </c>
      <c r="F8" s="524">
        <f t="shared" si="1"/>
        <v>0</v>
      </c>
      <c r="G8" s="526">
        <f t="shared" si="1"/>
        <v>0</v>
      </c>
      <c r="H8" s="535">
        <f t="shared" si="1"/>
        <v>0</v>
      </c>
      <c r="I8" s="525">
        <f t="shared" si="1"/>
        <v>0</v>
      </c>
      <c r="J8" s="525">
        <f t="shared" si="1"/>
        <v>0</v>
      </c>
      <c r="K8" s="526">
        <f t="shared" si="1"/>
        <v>0</v>
      </c>
      <c r="L8" s="524">
        <f t="shared" si="1"/>
        <v>0</v>
      </c>
      <c r="M8" s="709">
        <f t="shared" si="1"/>
        <v>0</v>
      </c>
      <c r="N8" s="709">
        <f t="shared" si="1"/>
        <v>0</v>
      </c>
      <c r="O8" s="710">
        <f t="shared" si="1"/>
        <v>0</v>
      </c>
      <c r="P8" s="711">
        <f t="shared" si="1"/>
        <v>0</v>
      </c>
      <c r="Q8" s="709">
        <f t="shared" si="1"/>
        <v>0</v>
      </c>
      <c r="R8" s="709">
        <f t="shared" si="1"/>
        <v>0</v>
      </c>
      <c r="S8" s="710">
        <f t="shared" si="1"/>
        <v>0</v>
      </c>
      <c r="T8" s="711">
        <f t="shared" si="1"/>
        <v>0</v>
      </c>
      <c r="U8" s="709">
        <f t="shared" si="1"/>
        <v>0</v>
      </c>
      <c r="V8" s="709">
        <f t="shared" si="1"/>
        <v>0</v>
      </c>
      <c r="W8" s="710">
        <f t="shared" si="1"/>
        <v>0</v>
      </c>
      <c r="X8" s="711">
        <f t="shared" si="1"/>
        <v>0</v>
      </c>
      <c r="Y8" s="709">
        <f t="shared" si="1"/>
        <v>0</v>
      </c>
      <c r="Z8" s="709">
        <f t="shared" si="1"/>
        <v>0</v>
      </c>
      <c r="AA8" s="710">
        <f t="shared" si="1"/>
        <v>0</v>
      </c>
    </row>
    <row r="9" spans="2:27" s="141" customFormat="1" ht="16.5" customHeight="1" hidden="1">
      <c r="B9" s="456"/>
      <c r="C9" s="457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454"/>
    </row>
    <row r="10" spans="1:27" ht="14.25" customHeight="1">
      <c r="A10" s="1001"/>
      <c r="B10" s="1002" t="s">
        <v>649</v>
      </c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  <c r="O10" s="1003"/>
      <c r="P10" s="1003"/>
      <c r="Q10" s="1003"/>
      <c r="R10" s="1003"/>
      <c r="S10" s="1003"/>
      <c r="T10" s="1003"/>
      <c r="U10" s="1003"/>
      <c r="V10" s="1003"/>
      <c r="W10" s="1003"/>
      <c r="X10" s="1003"/>
      <c r="Y10" s="1003"/>
      <c r="Z10" s="1003"/>
      <c r="AA10" s="1004"/>
    </row>
    <row r="11" spans="1:27" ht="14.25" customHeight="1">
      <c r="A11" s="1001"/>
      <c r="B11" s="471" t="s">
        <v>188</v>
      </c>
      <c r="C11" s="472" t="s">
        <v>193</v>
      </c>
      <c r="D11" s="527"/>
      <c r="E11" s="528"/>
      <c r="F11" s="527"/>
      <c r="G11" s="528"/>
      <c r="H11" s="527"/>
      <c r="I11" s="529"/>
      <c r="J11" s="529"/>
      <c r="K11" s="528"/>
      <c r="L11" s="527"/>
      <c r="M11" s="529"/>
      <c r="N11" s="529"/>
      <c r="O11" s="528"/>
      <c r="P11" s="527"/>
      <c r="Q11" s="530"/>
      <c r="R11" s="529"/>
      <c r="S11" s="528"/>
      <c r="T11" s="527"/>
      <c r="U11" s="530"/>
      <c r="V11" s="529"/>
      <c r="W11" s="528"/>
      <c r="X11" s="527"/>
      <c r="Y11" s="529"/>
      <c r="Z11" s="529"/>
      <c r="AA11" s="528"/>
    </row>
    <row r="12" spans="1:27" ht="14.25" customHeight="1">
      <c r="A12" s="1001"/>
      <c r="B12" s="453" t="s">
        <v>189</v>
      </c>
      <c r="C12" s="202" t="s">
        <v>194</v>
      </c>
      <c r="D12" s="480"/>
      <c r="E12" s="481"/>
      <c r="F12" s="480"/>
      <c r="G12" s="481"/>
      <c r="H12" s="480"/>
      <c r="I12" s="448"/>
      <c r="J12" s="448"/>
      <c r="K12" s="481"/>
      <c r="L12" s="480"/>
      <c r="M12" s="378"/>
      <c r="N12" s="378"/>
      <c r="O12" s="381"/>
      <c r="P12" s="377"/>
      <c r="Q12" s="378"/>
      <c r="R12" s="378"/>
      <c r="S12" s="381"/>
      <c r="T12" s="377"/>
      <c r="U12" s="378"/>
      <c r="V12" s="378"/>
      <c r="W12" s="381"/>
      <c r="X12" s="377"/>
      <c r="Y12" s="378"/>
      <c r="Z12" s="378"/>
      <c r="AA12" s="381"/>
    </row>
    <row r="13" spans="1:27" ht="14.25" customHeight="1" thickBot="1">
      <c r="A13" s="1001"/>
      <c r="B13" s="455" t="s">
        <v>338</v>
      </c>
      <c r="C13" s="255" t="s">
        <v>339</v>
      </c>
      <c r="D13" s="531">
        <f aca="true" t="shared" si="2" ref="D13:AA13">D11*D12</f>
        <v>0</v>
      </c>
      <c r="E13" s="532">
        <f t="shared" si="2"/>
        <v>0</v>
      </c>
      <c r="F13" s="531">
        <f t="shared" si="2"/>
        <v>0</v>
      </c>
      <c r="G13" s="532">
        <f t="shared" si="2"/>
        <v>0</v>
      </c>
      <c r="H13" s="531">
        <f t="shared" si="2"/>
        <v>0</v>
      </c>
      <c r="I13" s="533">
        <f t="shared" si="2"/>
        <v>0</v>
      </c>
      <c r="J13" s="533">
        <f t="shared" si="2"/>
        <v>0</v>
      </c>
      <c r="K13" s="532">
        <f t="shared" si="2"/>
        <v>0</v>
      </c>
      <c r="L13" s="531">
        <f t="shared" si="2"/>
        <v>0</v>
      </c>
      <c r="M13" s="712">
        <f t="shared" si="2"/>
        <v>0</v>
      </c>
      <c r="N13" s="712">
        <f t="shared" si="2"/>
        <v>0</v>
      </c>
      <c r="O13" s="713">
        <f t="shared" si="2"/>
        <v>0</v>
      </c>
      <c r="P13" s="714">
        <f t="shared" si="2"/>
        <v>0</v>
      </c>
      <c r="Q13" s="712">
        <f t="shared" si="2"/>
        <v>0</v>
      </c>
      <c r="R13" s="712">
        <f t="shared" si="2"/>
        <v>0</v>
      </c>
      <c r="S13" s="713">
        <f t="shared" si="2"/>
        <v>0</v>
      </c>
      <c r="T13" s="714">
        <f t="shared" si="2"/>
        <v>0</v>
      </c>
      <c r="U13" s="712">
        <f t="shared" si="2"/>
        <v>0</v>
      </c>
      <c r="V13" s="712">
        <f t="shared" si="2"/>
        <v>0</v>
      </c>
      <c r="W13" s="713">
        <f t="shared" si="2"/>
        <v>0</v>
      </c>
      <c r="X13" s="714">
        <f t="shared" si="2"/>
        <v>0</v>
      </c>
      <c r="Y13" s="712">
        <f t="shared" si="2"/>
        <v>0</v>
      </c>
      <c r="Z13" s="712">
        <f t="shared" si="2"/>
        <v>0</v>
      </c>
      <c r="AA13" s="713">
        <f t="shared" si="2"/>
        <v>0</v>
      </c>
    </row>
    <row r="14" spans="1:27" s="32" customFormat="1" ht="13.5" thickBot="1">
      <c r="A14" s="889" t="s">
        <v>650</v>
      </c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889"/>
      <c r="AA14" s="889"/>
    </row>
    <row r="16" spans="2:14" s="81" customFormat="1" ht="13.5" customHeight="1">
      <c r="B16" s="930" t="s">
        <v>428</v>
      </c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27"/>
      <c r="N16" s="27"/>
    </row>
    <row r="17" spans="2:12" s="81" customFormat="1" ht="12.75" customHeight="1">
      <c r="B17" s="929" t="s">
        <v>429</v>
      </c>
      <c r="C17" s="929"/>
      <c r="D17" s="929"/>
      <c r="E17" s="929"/>
      <c r="F17" s="929"/>
      <c r="G17" s="929"/>
      <c r="H17" s="929"/>
      <c r="I17" s="929"/>
      <c r="J17" s="929"/>
      <c r="K17" s="929"/>
      <c r="L17" s="929"/>
    </row>
  </sheetData>
  <sheetProtection password="C8D1" sheet="1" scenarios="1" formatRows="0"/>
  <mergeCells count="25">
    <mergeCell ref="N5:O5"/>
    <mergeCell ref="D5:E5"/>
    <mergeCell ref="B16:L16"/>
    <mergeCell ref="J5:K5"/>
    <mergeCell ref="L5:M5"/>
    <mergeCell ref="A14:AA14"/>
    <mergeCell ref="A10:A13"/>
    <mergeCell ref="B10:AA10"/>
    <mergeCell ref="T5:U5"/>
    <mergeCell ref="B17:L17"/>
    <mergeCell ref="B4:B6"/>
    <mergeCell ref="C4:C6"/>
    <mergeCell ref="D4:E4"/>
    <mergeCell ref="F4:G4"/>
    <mergeCell ref="B3:G3"/>
    <mergeCell ref="B1:AA1"/>
    <mergeCell ref="B2:AA2"/>
    <mergeCell ref="H4:AA4"/>
    <mergeCell ref="P5:Q5"/>
    <mergeCell ref="R5:S5"/>
    <mergeCell ref="X5:Y5"/>
    <mergeCell ref="Z5:AA5"/>
    <mergeCell ref="F5:G5"/>
    <mergeCell ref="H5:I5"/>
    <mergeCell ref="V5:W5"/>
  </mergeCells>
  <hyperlinks>
    <hyperlink ref="A14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_ee"/>
  <dimension ref="B1:H2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.00390625" style="32" customWidth="1"/>
    <col min="2" max="2" width="30.140625" style="32" customWidth="1"/>
    <col min="3" max="3" width="15.28125" style="32" customWidth="1"/>
    <col min="4" max="4" width="13.28125" style="32" customWidth="1"/>
    <col min="5" max="6" width="12.7109375" style="32" customWidth="1"/>
    <col min="7" max="7" width="15.7109375" style="32" customWidth="1"/>
    <col min="8" max="8" width="12.00390625" style="32" customWidth="1"/>
    <col min="9" max="16384" width="9.140625" style="32" customWidth="1"/>
  </cols>
  <sheetData>
    <row r="1" ht="12.75">
      <c r="B1" s="32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2:8" ht="15">
      <c r="B2" s="932" t="s">
        <v>570</v>
      </c>
      <c r="C2" s="932"/>
      <c r="D2" s="932"/>
      <c r="E2" s="932"/>
      <c r="F2" s="932"/>
      <c r="G2" s="932"/>
      <c r="H2" s="932"/>
    </row>
    <row r="4" spans="2:8" ht="30" customHeight="1">
      <c r="B4" s="1009" t="s">
        <v>82</v>
      </c>
      <c r="C4" s="1006" t="s">
        <v>546</v>
      </c>
      <c r="D4" s="845" t="s">
        <v>547</v>
      </c>
      <c r="E4" s="845"/>
      <c r="F4" s="845"/>
      <c r="G4" s="845"/>
      <c r="H4" s="1006" t="s">
        <v>553</v>
      </c>
    </row>
    <row r="5" spans="2:8" ht="18" customHeight="1">
      <c r="B5" s="1010"/>
      <c r="C5" s="1007"/>
      <c r="D5" s="1005">
        <f>factYear</f>
        <v>2017</v>
      </c>
      <c r="E5" s="1005"/>
      <c r="F5" s="1005"/>
      <c r="G5" s="1005"/>
      <c r="H5" s="1007"/>
    </row>
    <row r="6" spans="2:8" ht="19.5" customHeight="1">
      <c r="B6" s="1011"/>
      <c r="C6" s="1008"/>
      <c r="D6" s="47" t="s">
        <v>549</v>
      </c>
      <c r="E6" s="47" t="s">
        <v>550</v>
      </c>
      <c r="F6" s="47" t="s">
        <v>551</v>
      </c>
      <c r="G6" s="47" t="s">
        <v>552</v>
      </c>
      <c r="H6" s="1008"/>
    </row>
    <row r="7" spans="2:8" ht="12.75">
      <c r="B7" s="444"/>
      <c r="C7" s="49" t="s">
        <v>545</v>
      </c>
      <c r="D7" s="49" t="s">
        <v>558</v>
      </c>
      <c r="E7" s="49" t="s">
        <v>558</v>
      </c>
      <c r="F7" s="49" t="s">
        <v>558</v>
      </c>
      <c r="G7" s="49" t="s">
        <v>558</v>
      </c>
      <c r="H7" s="49" t="s">
        <v>554</v>
      </c>
    </row>
    <row r="8" ht="9" customHeight="1"/>
    <row r="9" spans="2:8" ht="21.75" customHeight="1">
      <c r="B9" s="66" t="s">
        <v>548</v>
      </c>
      <c r="C9" s="672">
        <f>SUM(C10:C13)</f>
        <v>160</v>
      </c>
      <c r="D9" s="672">
        <f>SUM(D10:D13)</f>
        <v>3.442</v>
      </c>
      <c r="E9" s="672">
        <f>SUM(E10:E13)</f>
        <v>3.442</v>
      </c>
      <c r="F9" s="672">
        <f>SUM(F10:F13)</f>
        <v>0</v>
      </c>
      <c r="G9" s="672">
        <f>SUM(G10:G13)</f>
        <v>0</v>
      </c>
      <c r="H9" s="235"/>
    </row>
    <row r="10" spans="2:8" ht="12.75">
      <c r="B10" s="87" t="s">
        <v>438</v>
      </c>
      <c r="C10" s="672">
        <f>SUMIF(H$14:H$21,"НН",C$14:C$21)</f>
        <v>0</v>
      </c>
      <c r="D10" s="672">
        <f aca="true" t="shared" si="0" ref="D10:D16">E10+F10+G10</f>
        <v>0</v>
      </c>
      <c r="E10" s="672">
        <f>SUMIF(H$14:H$21,"НН",E$14:E$21)</f>
        <v>0</v>
      </c>
      <c r="F10" s="672">
        <f>SUMIF(H$14:H$21,"НН",F$14:F$21)</f>
        <v>0</v>
      </c>
      <c r="G10" s="672">
        <f>SUMIF(H$14:H$21,"НН",G$14:G$21)</f>
        <v>0</v>
      </c>
      <c r="H10" s="235"/>
    </row>
    <row r="11" spans="2:8" ht="12.75">
      <c r="B11" s="87" t="s">
        <v>332</v>
      </c>
      <c r="C11" s="672">
        <f>SUMIF(H$14:H$21,"СН1",C$14:C$21)</f>
        <v>0</v>
      </c>
      <c r="D11" s="672">
        <f t="shared" si="0"/>
        <v>0</v>
      </c>
      <c r="E11" s="672">
        <f>SUMIF(H$14:H$21,"СН1",E$14:E$21)</f>
        <v>0</v>
      </c>
      <c r="F11" s="672">
        <f>SUMIF(H$14:H$21,"СН1",F$14:F$21)</f>
        <v>0</v>
      </c>
      <c r="G11" s="672">
        <f>SUMIF(H$14:H$21,"СН1",G$14:G$21)</f>
        <v>0</v>
      </c>
      <c r="H11" s="235"/>
    </row>
    <row r="12" spans="2:8" ht="12.75">
      <c r="B12" s="87" t="s">
        <v>333</v>
      </c>
      <c r="C12" s="672">
        <f>SUMIF(H$14:H$21,"СН2",C$14:C$21)</f>
        <v>160</v>
      </c>
      <c r="D12" s="672">
        <f t="shared" si="0"/>
        <v>3.442</v>
      </c>
      <c r="E12" s="672">
        <f>SUMIF(H$14:H$21,"СН2",E$14:E$21)</f>
        <v>3.442</v>
      </c>
      <c r="F12" s="672">
        <f>SUMIF(H$14:H$21,"СН2",F$14:F$21)</f>
        <v>0</v>
      </c>
      <c r="G12" s="672">
        <f>SUMIF(H$14:H$21,"СН2",G$14:G$21)</f>
        <v>0</v>
      </c>
      <c r="H12" s="235"/>
    </row>
    <row r="13" spans="2:8" ht="12.75">
      <c r="B13" s="87" t="s">
        <v>334</v>
      </c>
      <c r="C13" s="672">
        <f>SUMIF(H$14:H$21,"ВН",C$14:C$21)</f>
        <v>0</v>
      </c>
      <c r="D13" s="672">
        <f t="shared" si="0"/>
        <v>0</v>
      </c>
      <c r="E13" s="672">
        <f>SUMIF(H$14:H$21,"ВН",E$14:E$21)</f>
        <v>0</v>
      </c>
      <c r="F13" s="672">
        <f>SUMIF(H$14:H$21,"ВН",F$14:F$21)</f>
        <v>0</v>
      </c>
      <c r="G13" s="672">
        <f>SUMIF(H$14:H$21,"ВН",G$14:G$21)</f>
        <v>0</v>
      </c>
      <c r="H13" s="235"/>
    </row>
    <row r="14" spans="2:8" ht="12.75" customHeight="1" hidden="1">
      <c r="B14" s="87"/>
      <c r="C14" s="672"/>
      <c r="D14" s="672"/>
      <c r="E14" s="672"/>
      <c r="F14" s="672"/>
      <c r="G14" s="672"/>
      <c r="H14" s="235"/>
    </row>
    <row r="15" spans="2:8" ht="25.5">
      <c r="B15" s="447" t="str">
        <f>'Объекты ВС'!D11</f>
        <v>Очистные сооружения из поверхностного источника</v>
      </c>
      <c r="C15" s="673">
        <v>160</v>
      </c>
      <c r="D15" s="672">
        <f>E15+F15+G15</f>
        <v>3.442</v>
      </c>
      <c r="E15" s="673">
        <v>3.442</v>
      </c>
      <c r="F15" s="673"/>
      <c r="G15" s="673"/>
      <c r="H15" s="446" t="s">
        <v>678</v>
      </c>
    </row>
    <row r="16" spans="2:8" ht="12.75">
      <c r="B16" s="448"/>
      <c r="C16" s="673"/>
      <c r="D16" s="672">
        <f t="shared" si="0"/>
        <v>0</v>
      </c>
      <c r="E16" s="673"/>
      <c r="F16" s="673"/>
      <c r="G16" s="673"/>
      <c r="H16" s="446"/>
    </row>
    <row r="17" spans="2:8" ht="13.5" thickBot="1">
      <c r="B17" s="949" t="s">
        <v>335</v>
      </c>
      <c r="C17" s="950"/>
      <c r="D17" s="950"/>
      <c r="E17" s="950"/>
      <c r="F17" s="950"/>
      <c r="G17" s="950"/>
      <c r="H17" s="950"/>
    </row>
    <row r="23" ht="12.75">
      <c r="B23" s="55"/>
    </row>
  </sheetData>
  <sheetProtection password="C8D1" sheet="1" objects="1" scenarios="1" formatCells="0" formatRows="0"/>
  <mergeCells count="7">
    <mergeCell ref="B17:H17"/>
    <mergeCell ref="B2:H2"/>
    <mergeCell ref="D4:G4"/>
    <mergeCell ref="D5:G5"/>
    <mergeCell ref="C4:C6"/>
    <mergeCell ref="B4:B6"/>
    <mergeCell ref="H4:H6"/>
  </mergeCells>
  <dataValidations count="1">
    <dataValidation type="list" allowBlank="1" showInputMessage="1" showErrorMessage="1" sqref="H15:H16">
      <formula1>"НН,СН1,СН2,ВН"</formula1>
    </dataValidation>
  </dataValidations>
  <hyperlinks>
    <hyperlink ref="B17" tooltip="Кликните по гиперссылке для добавления новой строки" display="Добавить строки"/>
  </hyperlinks>
  <printOptions/>
  <pageMargins left="0.31496062992125984" right="0" top="0.7480314960629921" bottom="0.7480314960629921" header="0" footer="0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1"/>
  <dimension ref="B2:Q16"/>
  <sheetViews>
    <sheetView zoomScalePageLayoutView="0" workbookViewId="0" topLeftCell="A4">
      <selection activeCell="O23" sqref="O23"/>
    </sheetView>
  </sheetViews>
  <sheetFormatPr defaultColWidth="9.140625" defaultRowHeight="12.75"/>
  <cols>
    <col min="1" max="1" width="9.140625" style="16" customWidth="1"/>
    <col min="2" max="2" width="38.28125" style="16" customWidth="1"/>
    <col min="3" max="3" width="10.00390625" style="16" customWidth="1"/>
    <col min="4" max="17" width="12.57421875" style="16" customWidth="1"/>
    <col min="18" max="16384" width="9.140625" style="16" customWidth="1"/>
  </cols>
  <sheetData>
    <row r="2" ht="12.75">
      <c r="B2" s="16" t="str">
        <f>org</f>
        <v>Муниципальное предприятие по эксплуатации систем водоснабжения и водоотведения "Водоканал" г.Великие Луки</v>
      </c>
    </row>
    <row r="3" spans="2:17" ht="15.75">
      <c r="B3" s="1012" t="s">
        <v>568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</row>
    <row r="4" ht="13.5" thickBot="1"/>
    <row r="5" spans="2:17" ht="21" customHeight="1" thickBot="1">
      <c r="B5" s="1015" t="s">
        <v>328</v>
      </c>
      <c r="C5" s="1018" t="s">
        <v>566</v>
      </c>
      <c r="D5" s="1013" t="s">
        <v>536</v>
      </c>
      <c r="E5" s="1014"/>
      <c r="F5" s="1013" t="s">
        <v>537</v>
      </c>
      <c r="G5" s="1014"/>
      <c r="H5" s="976" t="s">
        <v>567</v>
      </c>
      <c r="I5" s="976"/>
      <c r="J5" s="976"/>
      <c r="K5" s="976"/>
      <c r="L5" s="976"/>
      <c r="M5" s="976"/>
      <c r="N5" s="976"/>
      <c r="O5" s="976"/>
      <c r="P5" s="976"/>
      <c r="Q5" s="977"/>
    </row>
    <row r="6" spans="2:17" ht="21" customHeight="1">
      <c r="B6" s="1016"/>
      <c r="C6" s="1019"/>
      <c r="D6" s="961">
        <f>factYear</f>
        <v>2017</v>
      </c>
      <c r="E6" s="962"/>
      <c r="F6" s="961">
        <f>currYear</f>
        <v>2018</v>
      </c>
      <c r="G6" s="963"/>
      <c r="H6" s="945" t="str">
        <f>year1</f>
        <v>2019</v>
      </c>
      <c r="I6" s="946"/>
      <c r="J6" s="945">
        <f>year2</f>
        <v>2020</v>
      </c>
      <c r="K6" s="946"/>
      <c r="L6" s="945">
        <f>year3</f>
        <v>2021</v>
      </c>
      <c r="M6" s="946"/>
      <c r="N6" s="947">
        <f>year4</f>
        <v>2022</v>
      </c>
      <c r="O6" s="948"/>
      <c r="P6" s="947">
        <f>year5</f>
        <v>2023</v>
      </c>
      <c r="Q6" s="948"/>
    </row>
    <row r="7" spans="2:17" ht="38.25" customHeight="1" thickBot="1">
      <c r="B7" s="1017"/>
      <c r="C7" s="1020"/>
      <c r="D7" s="242" t="s">
        <v>308</v>
      </c>
      <c r="E7" s="243" t="s">
        <v>309</v>
      </c>
      <c r="F7" s="242" t="s">
        <v>308</v>
      </c>
      <c r="G7" s="243" t="s">
        <v>310</v>
      </c>
      <c r="H7" s="244" t="s">
        <v>8</v>
      </c>
      <c r="I7" s="166" t="s">
        <v>2</v>
      </c>
      <c r="J7" s="244" t="s">
        <v>8</v>
      </c>
      <c r="K7" s="166" t="s">
        <v>2</v>
      </c>
      <c r="L7" s="244" t="s">
        <v>8</v>
      </c>
      <c r="M7" s="166" t="s">
        <v>2</v>
      </c>
      <c r="N7" s="244" t="s">
        <v>8</v>
      </c>
      <c r="O7" s="166" t="s">
        <v>2</v>
      </c>
      <c r="P7" s="245" t="s">
        <v>8</v>
      </c>
      <c r="Q7" s="166" t="s">
        <v>2</v>
      </c>
    </row>
    <row r="8" spans="2:17" ht="13.5" thickBot="1">
      <c r="B8" s="270">
        <v>1</v>
      </c>
      <c r="C8" s="264">
        <v>2</v>
      </c>
      <c r="D8" s="267">
        <v>3</v>
      </c>
      <c r="E8" s="268">
        <v>4</v>
      </c>
      <c r="F8" s="267">
        <v>5</v>
      </c>
      <c r="G8" s="268">
        <v>6</v>
      </c>
      <c r="H8" s="167">
        <v>7</v>
      </c>
      <c r="I8" s="265">
        <v>8</v>
      </c>
      <c r="J8" s="167">
        <v>9</v>
      </c>
      <c r="K8" s="265">
        <v>10</v>
      </c>
      <c r="L8" s="167">
        <v>11</v>
      </c>
      <c r="M8" s="265">
        <v>12</v>
      </c>
      <c r="N8" s="167">
        <v>13</v>
      </c>
      <c r="O8" s="265">
        <v>14</v>
      </c>
      <c r="P8" s="266">
        <v>15</v>
      </c>
      <c r="Q8" s="265">
        <v>16</v>
      </c>
    </row>
    <row r="9" spans="2:17" ht="12.75">
      <c r="B9" s="631"/>
      <c r="C9" s="632"/>
      <c r="D9" s="633"/>
      <c r="E9" s="634"/>
      <c r="F9" s="635"/>
      <c r="G9" s="636"/>
      <c r="H9" s="635"/>
      <c r="I9" s="636"/>
      <c r="J9" s="635"/>
      <c r="K9" s="636"/>
      <c r="L9" s="637"/>
      <c r="M9" s="638"/>
      <c r="N9" s="635"/>
      <c r="O9" s="636"/>
      <c r="P9" s="632"/>
      <c r="Q9" s="636"/>
    </row>
    <row r="10" spans="2:17" ht="17.25" customHeight="1">
      <c r="B10" s="630" t="s">
        <v>653</v>
      </c>
      <c r="C10" s="269" t="s">
        <v>296</v>
      </c>
      <c r="D10" s="627">
        <f>'Баланс ВС'!C13</f>
        <v>0</v>
      </c>
      <c r="E10" s="220">
        <f>'Баланс ВС'!D13</f>
        <v>0</v>
      </c>
      <c r="F10" s="627">
        <f>'Баланс ВС'!E13</f>
        <v>0</v>
      </c>
      <c r="G10" s="220">
        <f>'Баланс ВС'!F13</f>
        <v>0</v>
      </c>
      <c r="H10" s="627">
        <f>'Баланс ВС'!G13</f>
        <v>0</v>
      </c>
      <c r="I10" s="220">
        <f>'Баланс ВС'!H13</f>
        <v>0</v>
      </c>
      <c r="J10" s="627">
        <f>'Баланс ВС'!I13</f>
        <v>0</v>
      </c>
      <c r="K10" s="220">
        <f>'Баланс ВС'!J13</f>
        <v>0</v>
      </c>
      <c r="L10" s="627">
        <f>'Баланс ВС'!K13</f>
        <v>0</v>
      </c>
      <c r="M10" s="220">
        <f>'Баланс ВС'!L13</f>
        <v>0</v>
      </c>
      <c r="N10" s="627">
        <f>'Баланс ВС'!M13</f>
        <v>0</v>
      </c>
      <c r="O10" s="220">
        <f>'Баланс ВС'!N13</f>
        <v>0</v>
      </c>
      <c r="P10" s="627">
        <f>'Баланс ВС'!O13</f>
        <v>0</v>
      </c>
      <c r="Q10" s="220">
        <f>'Баланс ВС'!P13</f>
        <v>0</v>
      </c>
    </row>
    <row r="11" spans="2:17" ht="17.25" customHeight="1">
      <c r="B11" s="630" t="s">
        <v>651</v>
      </c>
      <c r="C11" s="269" t="s">
        <v>296</v>
      </c>
      <c r="D11" s="627">
        <f>'Баланс ВС'!C15</f>
        <v>50</v>
      </c>
      <c r="E11" s="220">
        <f>'Баланс ВС'!D15</f>
        <v>15.7</v>
      </c>
      <c r="F11" s="627">
        <f>'Баланс ВС'!E15</f>
        <v>24</v>
      </c>
      <c r="G11" s="220">
        <f>'Баланс ВС'!F15</f>
        <v>7</v>
      </c>
      <c r="H11" s="627">
        <f>'Баланс ВС'!G15</f>
        <v>6</v>
      </c>
      <c r="I11" s="220">
        <f>'Баланс ВС'!H15</f>
        <v>0</v>
      </c>
      <c r="J11" s="627">
        <f>'Баланс ВС'!I15</f>
        <v>6</v>
      </c>
      <c r="K11" s="220">
        <f>'Баланс ВС'!J15</f>
        <v>0</v>
      </c>
      <c r="L11" s="627">
        <f>'Баланс ВС'!K15</f>
        <v>6</v>
      </c>
      <c r="M11" s="220">
        <f>'Баланс ВС'!L15</f>
        <v>0</v>
      </c>
      <c r="N11" s="627">
        <f>'Баланс ВС'!M15</f>
        <v>6</v>
      </c>
      <c r="O11" s="220">
        <f>'Баланс ВС'!N15</f>
        <v>0</v>
      </c>
      <c r="P11" s="627">
        <f>'Баланс ВС'!O15</f>
        <v>6</v>
      </c>
      <c r="Q11" s="220">
        <f>'Баланс ВС'!P15</f>
        <v>0</v>
      </c>
    </row>
    <row r="12" spans="2:17" ht="18" customHeight="1">
      <c r="B12" s="639" t="s">
        <v>560</v>
      </c>
      <c r="C12" s="269" t="s">
        <v>559</v>
      </c>
      <c r="D12" s="627">
        <f>D14+D15</f>
        <v>0.207</v>
      </c>
      <c r="E12" s="220">
        <f aca="true" t="shared" si="0" ref="E12:Q12">E14+E15</f>
        <v>0.219</v>
      </c>
      <c r="F12" s="627">
        <f t="shared" si="0"/>
        <v>0.207</v>
      </c>
      <c r="G12" s="220">
        <f t="shared" si="0"/>
        <v>0.223</v>
      </c>
      <c r="H12" s="627">
        <f t="shared" si="0"/>
        <v>0.223</v>
      </c>
      <c r="I12" s="220">
        <f t="shared" si="0"/>
        <v>0</v>
      </c>
      <c r="J12" s="627">
        <f t="shared" si="0"/>
        <v>0.223</v>
      </c>
      <c r="K12" s="220">
        <f t="shared" si="0"/>
        <v>0</v>
      </c>
      <c r="L12" s="627">
        <f t="shared" si="0"/>
        <v>0.223</v>
      </c>
      <c r="M12" s="220">
        <f t="shared" si="0"/>
        <v>0</v>
      </c>
      <c r="N12" s="627">
        <f t="shared" si="0"/>
        <v>0.223</v>
      </c>
      <c r="O12" s="220">
        <f t="shared" si="0"/>
        <v>0</v>
      </c>
      <c r="P12" s="627">
        <f t="shared" si="0"/>
        <v>0.223</v>
      </c>
      <c r="Q12" s="220">
        <f t="shared" si="0"/>
        <v>0</v>
      </c>
    </row>
    <row r="13" spans="2:17" ht="12.75">
      <c r="B13" s="640" t="s">
        <v>311</v>
      </c>
      <c r="C13" s="641"/>
      <c r="D13" s="643"/>
      <c r="E13" s="644"/>
      <c r="F13" s="643"/>
      <c r="G13" s="644"/>
      <c r="H13" s="643"/>
      <c r="I13" s="644"/>
      <c r="J13" s="643"/>
      <c r="K13" s="644"/>
      <c r="L13" s="643"/>
      <c r="M13" s="644"/>
      <c r="N13" s="643"/>
      <c r="O13" s="644"/>
      <c r="P13" s="643"/>
      <c r="Q13" s="644"/>
    </row>
    <row r="14" spans="2:17" ht="46.5" customHeight="1">
      <c r="B14" s="271" t="s">
        <v>564</v>
      </c>
      <c r="C14" s="269" t="s">
        <v>559</v>
      </c>
      <c r="D14" s="240">
        <v>0</v>
      </c>
      <c r="E14" s="220">
        <f>IF(E10=0,0,'ЭЭ факт'!F9/E10)</f>
        <v>0</v>
      </c>
      <c r="F14" s="240">
        <v>0</v>
      </c>
      <c r="G14" s="239"/>
      <c r="H14" s="240"/>
      <c r="I14" s="239"/>
      <c r="J14" s="240"/>
      <c r="K14" s="239"/>
      <c r="L14" s="240"/>
      <c r="M14" s="239"/>
      <c r="N14" s="240"/>
      <c r="O14" s="239"/>
      <c r="P14" s="240"/>
      <c r="Q14" s="239"/>
    </row>
    <row r="15" spans="2:17" ht="48" customHeight="1">
      <c r="B15" s="271" t="s">
        <v>563</v>
      </c>
      <c r="C15" s="269" t="s">
        <v>559</v>
      </c>
      <c r="D15" s="240">
        <v>0.207</v>
      </c>
      <c r="E15" s="220">
        <f>IF(E11=0,0,('ЭЭ факт'!E9+'ЭЭ факт'!G9)/E11)</f>
        <v>0.219</v>
      </c>
      <c r="F15" s="240">
        <v>0.207</v>
      </c>
      <c r="G15" s="239">
        <v>0.223</v>
      </c>
      <c r="H15" s="240">
        <v>0.223</v>
      </c>
      <c r="I15" s="239"/>
      <c r="J15" s="240">
        <v>0.223</v>
      </c>
      <c r="K15" s="239"/>
      <c r="L15" s="240">
        <v>0.223</v>
      </c>
      <c r="M15" s="239"/>
      <c r="N15" s="240">
        <v>0.223</v>
      </c>
      <c r="O15" s="239"/>
      <c r="P15" s="240">
        <v>0.223</v>
      </c>
      <c r="Q15" s="239"/>
    </row>
    <row r="16" spans="2:17" ht="21" customHeight="1" thickBot="1">
      <c r="B16" s="272" t="s">
        <v>565</v>
      </c>
      <c r="C16" s="642" t="s">
        <v>558</v>
      </c>
      <c r="D16" s="628">
        <f>D14*D10+D11*D15</f>
        <v>10.35</v>
      </c>
      <c r="E16" s="629">
        <f>'ЭЭ факт'!D9</f>
        <v>3.442</v>
      </c>
      <c r="F16" s="628">
        <f aca="true" t="shared" si="1" ref="F16:Q16">F14*F10+F11*F15</f>
        <v>4.968</v>
      </c>
      <c r="G16" s="629">
        <f t="shared" si="1"/>
        <v>1.561</v>
      </c>
      <c r="H16" s="628">
        <f t="shared" si="1"/>
        <v>1.338</v>
      </c>
      <c r="I16" s="629">
        <f t="shared" si="1"/>
        <v>0</v>
      </c>
      <c r="J16" s="628">
        <f t="shared" si="1"/>
        <v>1.338</v>
      </c>
      <c r="K16" s="629">
        <f t="shared" si="1"/>
        <v>0</v>
      </c>
      <c r="L16" s="628">
        <f t="shared" si="1"/>
        <v>1.338</v>
      </c>
      <c r="M16" s="629">
        <f t="shared" si="1"/>
        <v>0</v>
      </c>
      <c r="N16" s="628">
        <f t="shared" si="1"/>
        <v>1.338</v>
      </c>
      <c r="O16" s="629">
        <f t="shared" si="1"/>
        <v>0</v>
      </c>
      <c r="P16" s="628">
        <f t="shared" si="1"/>
        <v>1.338</v>
      </c>
      <c r="Q16" s="629">
        <f t="shared" si="1"/>
        <v>0</v>
      </c>
    </row>
  </sheetData>
  <sheetProtection password="C8D1" sheet="1" objects="1" scenarios="1" formatCells="0"/>
  <mergeCells count="13">
    <mergeCell ref="B5:B7"/>
    <mergeCell ref="C5:C7"/>
    <mergeCell ref="H5:Q5"/>
    <mergeCell ref="B3:Q3"/>
    <mergeCell ref="D5:E5"/>
    <mergeCell ref="F5:G5"/>
    <mergeCell ref="D6:E6"/>
    <mergeCell ref="F6:G6"/>
    <mergeCell ref="H6:I6"/>
    <mergeCell ref="J6:K6"/>
    <mergeCell ref="L6:M6"/>
    <mergeCell ref="N6:O6"/>
    <mergeCell ref="P6:Q6"/>
  </mergeCells>
  <printOptions/>
  <pageMargins left="0.11811023622047245" right="0" top="0.35433070866141736" bottom="0.35433070866141736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"/>
  <dimension ref="A1:AC33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0" sqref="Y20"/>
    </sheetView>
  </sheetViews>
  <sheetFormatPr defaultColWidth="9.140625" defaultRowHeight="12.75"/>
  <cols>
    <col min="1" max="1" width="9.8515625" style="27" customWidth="1"/>
    <col min="2" max="2" width="33.28125" style="27" customWidth="1"/>
    <col min="3" max="3" width="11.8515625" style="27" customWidth="1"/>
    <col min="4" max="4" width="13.8515625" style="27" customWidth="1"/>
    <col min="5" max="5" width="12.8515625" style="27" customWidth="1"/>
    <col min="6" max="7" width="13.421875" style="27" customWidth="1"/>
    <col min="8" max="27" width="13.57421875" style="27" customWidth="1"/>
    <col min="28" max="28" width="16.7109375" style="0" customWidth="1"/>
    <col min="29" max="16384" width="9.140625" style="27" customWidth="1"/>
  </cols>
  <sheetData>
    <row r="1" spans="1:28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183"/>
    </row>
    <row r="2" spans="1:28" ht="15.75" thickBot="1">
      <c r="A2" s="844" t="s">
        <v>186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183"/>
    </row>
    <row r="3" spans="1:29" ht="21" customHeight="1">
      <c r="A3" s="840" t="s">
        <v>5</v>
      </c>
      <c r="B3" s="817" t="s">
        <v>6</v>
      </c>
      <c r="C3" s="1025" t="s">
        <v>7</v>
      </c>
      <c r="D3" s="998" t="s">
        <v>536</v>
      </c>
      <c r="E3" s="1032"/>
      <c r="F3" s="998" t="s">
        <v>537</v>
      </c>
      <c r="G3" s="999"/>
      <c r="H3" s="1033" t="str">
        <f>Заголовок!C17</f>
        <v>2019</v>
      </c>
      <c r="I3" s="1034"/>
      <c r="J3" s="1034"/>
      <c r="K3" s="1035"/>
      <c r="L3" s="1036">
        <f>Заголовок!C18</f>
        <v>2020</v>
      </c>
      <c r="M3" s="1034"/>
      <c r="N3" s="1034"/>
      <c r="O3" s="1035"/>
      <c r="P3" s="1036">
        <f>Заголовок!C19</f>
        <v>2021</v>
      </c>
      <c r="Q3" s="1034"/>
      <c r="R3" s="1034"/>
      <c r="S3" s="1034"/>
      <c r="T3" s="1036">
        <f>Заголовок!C20</f>
        <v>2022</v>
      </c>
      <c r="U3" s="1034"/>
      <c r="V3" s="1034"/>
      <c r="W3" s="1035"/>
      <c r="X3" s="1036">
        <f>Заголовок!C21</f>
        <v>2023</v>
      </c>
      <c r="Y3" s="1034"/>
      <c r="Z3" s="1034"/>
      <c r="AA3" s="1035"/>
      <c r="AB3" s="183"/>
      <c r="AC3" s="29"/>
    </row>
    <row r="4" spans="1:29" ht="41.25" customHeight="1">
      <c r="A4" s="983"/>
      <c r="B4" s="845"/>
      <c r="C4" s="1026"/>
      <c r="D4" s="1028">
        <f>Заголовок!C14</f>
        <v>2017</v>
      </c>
      <c r="E4" s="1029"/>
      <c r="F4" s="1028">
        <f>Заголовок!C15</f>
        <v>2018</v>
      </c>
      <c r="G4" s="1030"/>
      <c r="H4" s="1031" t="str">
        <f>Заголовок!D17</f>
        <v>01.01.2019-30.06.2019</v>
      </c>
      <c r="I4" s="1022"/>
      <c r="J4" s="1023" t="str">
        <f>Заголовок!E17</f>
        <v>01.07.2019-31.12.2019</v>
      </c>
      <c r="K4" s="996"/>
      <c r="L4" s="1021" t="str">
        <f>Заголовок!D18</f>
        <v>01.01.2020-30.06.2020</v>
      </c>
      <c r="M4" s="1022"/>
      <c r="N4" s="1023" t="str">
        <f>Заголовок!E18</f>
        <v>01.07.2020-31.12.2020</v>
      </c>
      <c r="O4" s="996"/>
      <c r="P4" s="1021" t="str">
        <f>Заголовок!D19</f>
        <v>01.01.2021-30.06.2021</v>
      </c>
      <c r="Q4" s="1022"/>
      <c r="R4" s="1023" t="str">
        <f>Заголовок!E19</f>
        <v>01.07.2021-31.12.2021</v>
      </c>
      <c r="S4" s="1024"/>
      <c r="T4" s="1021" t="str">
        <f>Заголовок!D20</f>
        <v>01.01.2022-30.06.2022</v>
      </c>
      <c r="U4" s="1022"/>
      <c r="V4" s="1023" t="str">
        <f>Заголовок!E20</f>
        <v>01.07.2022-31.12.2022</v>
      </c>
      <c r="W4" s="996"/>
      <c r="X4" s="1021" t="str">
        <f>Заголовок!D21</f>
        <v>01.01.2023-30.06.2023</v>
      </c>
      <c r="Y4" s="1022"/>
      <c r="Z4" s="1023" t="str">
        <f>Заголовок!E21</f>
        <v>01.07.2023-31.12.2023</v>
      </c>
      <c r="AA4" s="996"/>
      <c r="AB4" s="183"/>
      <c r="AC4" s="29"/>
    </row>
    <row r="5" spans="1:28" ht="37.5" customHeight="1" thickBot="1">
      <c r="A5" s="841"/>
      <c r="B5" s="843"/>
      <c r="C5" s="1027"/>
      <c r="D5" s="244" t="s">
        <v>190</v>
      </c>
      <c r="E5" s="166" t="s">
        <v>191</v>
      </c>
      <c r="F5" s="245" t="s">
        <v>190</v>
      </c>
      <c r="G5" s="166" t="s">
        <v>192</v>
      </c>
      <c r="H5" s="245" t="s">
        <v>8</v>
      </c>
      <c r="I5" s="246" t="s">
        <v>2</v>
      </c>
      <c r="J5" s="246" t="s">
        <v>8</v>
      </c>
      <c r="K5" s="166" t="s">
        <v>2</v>
      </c>
      <c r="L5" s="244" t="s">
        <v>8</v>
      </c>
      <c r="M5" s="246" t="s">
        <v>2</v>
      </c>
      <c r="N5" s="246" t="s">
        <v>8</v>
      </c>
      <c r="O5" s="166" t="s">
        <v>2</v>
      </c>
      <c r="P5" s="244" t="s">
        <v>8</v>
      </c>
      <c r="Q5" s="246" t="s">
        <v>2</v>
      </c>
      <c r="R5" s="246" t="s">
        <v>8</v>
      </c>
      <c r="S5" s="304" t="s">
        <v>2</v>
      </c>
      <c r="T5" s="244" t="s">
        <v>8</v>
      </c>
      <c r="U5" s="246" t="s">
        <v>2</v>
      </c>
      <c r="V5" s="246" t="s">
        <v>8</v>
      </c>
      <c r="W5" s="166" t="s">
        <v>2</v>
      </c>
      <c r="X5" s="244" t="s">
        <v>8</v>
      </c>
      <c r="Y5" s="246" t="s">
        <v>2</v>
      </c>
      <c r="Z5" s="246" t="s">
        <v>8</v>
      </c>
      <c r="AA5" s="166" t="s">
        <v>2</v>
      </c>
      <c r="AB5" s="183"/>
    </row>
    <row r="6" spans="1:28" ht="25.5">
      <c r="A6" s="101"/>
      <c r="B6" s="445" t="s">
        <v>595</v>
      </c>
      <c r="C6" s="94" t="s">
        <v>44</v>
      </c>
      <c r="D6" s="273">
        <f>'Уд расх.ЭЭ'!D16</f>
        <v>10.35</v>
      </c>
      <c r="E6" s="449">
        <f>'Уд расх.ЭЭ'!E16</f>
        <v>3.442</v>
      </c>
      <c r="F6" s="273">
        <f>'Уд расх.ЭЭ'!F16</f>
        <v>4.968</v>
      </c>
      <c r="G6" s="449">
        <f>'Уд расх.ЭЭ'!G16</f>
        <v>1.561</v>
      </c>
      <c r="H6" s="273">
        <f>'Уд расх.ЭЭ'!H16</f>
        <v>1.338</v>
      </c>
      <c r="I6" s="449">
        <f>'Уд расх.ЭЭ'!I16</f>
        <v>0</v>
      </c>
      <c r="J6" s="273">
        <f>H6</f>
        <v>1.338</v>
      </c>
      <c r="K6" s="449">
        <f>I6</f>
        <v>0</v>
      </c>
      <c r="L6" s="273">
        <f>'Уд расх.ЭЭ'!J16</f>
        <v>1.338</v>
      </c>
      <c r="M6" s="449">
        <f>'Уд расх.ЭЭ'!K16</f>
        <v>0</v>
      </c>
      <c r="N6" s="273">
        <f>L6</f>
        <v>1.338</v>
      </c>
      <c r="O6" s="449">
        <f>M6</f>
        <v>0</v>
      </c>
      <c r="P6" s="273">
        <f>'Уд расх.ЭЭ'!L16</f>
        <v>1.338</v>
      </c>
      <c r="Q6" s="449">
        <f>'Уд расх.ЭЭ'!M16</f>
        <v>0</v>
      </c>
      <c r="R6" s="273">
        <f>P6</f>
        <v>1.338</v>
      </c>
      <c r="S6" s="449">
        <f>Q6</f>
        <v>0</v>
      </c>
      <c r="T6" s="273">
        <f>'Уд расх.ЭЭ'!N16</f>
        <v>1.338</v>
      </c>
      <c r="U6" s="449">
        <f>'Уд расх.ЭЭ'!O16</f>
        <v>0</v>
      </c>
      <c r="V6" s="273">
        <f>T6</f>
        <v>1.338</v>
      </c>
      <c r="W6" s="449">
        <f>U6</f>
        <v>0</v>
      </c>
      <c r="X6" s="273">
        <f>'Уд расх.ЭЭ'!P16</f>
        <v>1.338</v>
      </c>
      <c r="Y6" s="449">
        <f>'Уд расх.ЭЭ'!Q16</f>
        <v>0</v>
      </c>
      <c r="Z6" s="273">
        <f>X6</f>
        <v>1.338</v>
      </c>
      <c r="AA6" s="449">
        <f>Y6</f>
        <v>0</v>
      </c>
      <c r="AB6" s="183"/>
    </row>
    <row r="7" spans="1:27" ht="12.75">
      <c r="A7" s="47">
        <v>1</v>
      </c>
      <c r="B7" s="135" t="s">
        <v>9</v>
      </c>
      <c r="C7" s="202"/>
      <c r="D7" s="274"/>
      <c r="E7" s="275"/>
      <c r="F7" s="274"/>
      <c r="G7" s="275"/>
      <c r="H7" s="274"/>
      <c r="I7" s="275"/>
      <c r="J7" s="274"/>
      <c r="K7" s="275"/>
      <c r="L7" s="274"/>
      <c r="M7" s="275"/>
      <c r="N7" s="274"/>
      <c r="O7" s="275"/>
      <c r="P7" s="274"/>
      <c r="Q7" s="275"/>
      <c r="R7" s="274"/>
      <c r="S7" s="275"/>
      <c r="T7" s="274"/>
      <c r="U7" s="275"/>
      <c r="V7" s="274"/>
      <c r="W7" s="275"/>
      <c r="X7" s="274"/>
      <c r="Y7" s="275"/>
      <c r="Z7" s="274"/>
      <c r="AA7" s="275"/>
    </row>
    <row r="8" spans="1:27" ht="12.75">
      <c r="A8" s="136" t="s">
        <v>10</v>
      </c>
      <c r="B8" s="137" t="s">
        <v>11</v>
      </c>
      <c r="C8" s="94" t="s">
        <v>44</v>
      </c>
      <c r="D8" s="273">
        <f aca="true" t="shared" si="0" ref="D8:K8">D9+D10+D11+D12</f>
        <v>10.35</v>
      </c>
      <c r="E8" s="449">
        <f t="shared" si="0"/>
        <v>3.442</v>
      </c>
      <c r="F8" s="273">
        <f>F9+F10+F11+F12</f>
        <v>4.968</v>
      </c>
      <c r="G8" s="449">
        <f>G9+G10+G11+G12</f>
        <v>1.561</v>
      </c>
      <c r="H8" s="273">
        <f t="shared" si="0"/>
        <v>1.338</v>
      </c>
      <c r="I8" s="449">
        <f t="shared" si="0"/>
        <v>0</v>
      </c>
      <c r="J8" s="273">
        <f t="shared" si="0"/>
        <v>1.338</v>
      </c>
      <c r="K8" s="449">
        <f t="shared" si="0"/>
        <v>0</v>
      </c>
      <c r="L8" s="273">
        <f aca="true" t="shared" si="1" ref="L8:AA8">L9+L10+L11+L12</f>
        <v>1.338</v>
      </c>
      <c r="M8" s="449">
        <f t="shared" si="1"/>
        <v>0</v>
      </c>
      <c r="N8" s="273">
        <f t="shared" si="1"/>
        <v>1.338</v>
      </c>
      <c r="O8" s="449">
        <f t="shared" si="1"/>
        <v>0</v>
      </c>
      <c r="P8" s="273">
        <f t="shared" si="1"/>
        <v>1.338</v>
      </c>
      <c r="Q8" s="449">
        <f t="shared" si="1"/>
        <v>0</v>
      </c>
      <c r="R8" s="273">
        <f t="shared" si="1"/>
        <v>1.338</v>
      </c>
      <c r="S8" s="449">
        <f t="shared" si="1"/>
        <v>0</v>
      </c>
      <c r="T8" s="273">
        <f t="shared" si="1"/>
        <v>1.338</v>
      </c>
      <c r="U8" s="449">
        <f t="shared" si="1"/>
        <v>0</v>
      </c>
      <c r="V8" s="273">
        <f t="shared" si="1"/>
        <v>1.338</v>
      </c>
      <c r="W8" s="449">
        <f t="shared" si="1"/>
        <v>0</v>
      </c>
      <c r="X8" s="273">
        <f t="shared" si="1"/>
        <v>1.338</v>
      </c>
      <c r="Y8" s="449">
        <f t="shared" si="1"/>
        <v>0</v>
      </c>
      <c r="Z8" s="273">
        <f t="shared" si="1"/>
        <v>1.338</v>
      </c>
      <c r="AA8" s="449">
        <f t="shared" si="1"/>
        <v>0</v>
      </c>
    </row>
    <row r="9" spans="1:27" ht="12.75">
      <c r="A9" s="138" t="s">
        <v>12</v>
      </c>
      <c r="B9" s="139" t="s">
        <v>15</v>
      </c>
      <c r="C9" s="94" t="s">
        <v>44</v>
      </c>
      <c r="D9" s="276"/>
      <c r="E9" s="277"/>
      <c r="F9" s="276"/>
      <c r="G9" s="277"/>
      <c r="H9" s="276"/>
      <c r="I9" s="277"/>
      <c r="J9" s="276"/>
      <c r="K9" s="277"/>
      <c r="L9" s="276"/>
      <c r="M9" s="277"/>
      <c r="N9" s="276"/>
      <c r="O9" s="277"/>
      <c r="P9" s="276"/>
      <c r="Q9" s="277"/>
      <c r="R9" s="276"/>
      <c r="S9" s="277"/>
      <c r="T9" s="276"/>
      <c r="U9" s="277"/>
      <c r="V9" s="276"/>
      <c r="W9" s="277"/>
      <c r="X9" s="276"/>
      <c r="Y9" s="277"/>
      <c r="Z9" s="276"/>
      <c r="AA9" s="277"/>
    </row>
    <row r="10" spans="1:27" ht="12.75">
      <c r="A10" s="138" t="s">
        <v>13</v>
      </c>
      <c r="B10" s="139" t="s">
        <v>16</v>
      </c>
      <c r="C10" s="94" t="s">
        <v>44</v>
      </c>
      <c r="D10" s="276"/>
      <c r="E10" s="277"/>
      <c r="F10" s="276"/>
      <c r="G10" s="277"/>
      <c r="H10" s="276"/>
      <c r="I10" s="277"/>
      <c r="J10" s="276"/>
      <c r="K10" s="277"/>
      <c r="L10" s="276"/>
      <c r="M10" s="277"/>
      <c r="N10" s="276"/>
      <c r="O10" s="277"/>
      <c r="P10" s="276"/>
      <c r="Q10" s="277"/>
      <c r="R10" s="276"/>
      <c r="S10" s="277"/>
      <c r="T10" s="276"/>
      <c r="U10" s="277"/>
      <c r="V10" s="276"/>
      <c r="W10" s="277"/>
      <c r="X10" s="276"/>
      <c r="Y10" s="277"/>
      <c r="Z10" s="276"/>
      <c r="AA10" s="277"/>
    </row>
    <row r="11" spans="1:27" ht="12.75">
      <c r="A11" s="138" t="s">
        <v>14</v>
      </c>
      <c r="B11" s="139" t="s">
        <v>17</v>
      </c>
      <c r="C11" s="94" t="s">
        <v>44</v>
      </c>
      <c r="D11" s="276">
        <v>10.35</v>
      </c>
      <c r="E11" s="277">
        <v>3.442</v>
      </c>
      <c r="F11" s="276">
        <v>4.968</v>
      </c>
      <c r="G11" s="277">
        <v>1.561</v>
      </c>
      <c r="H11" s="276">
        <v>1.338</v>
      </c>
      <c r="I11" s="277"/>
      <c r="J11" s="276">
        <v>1.338</v>
      </c>
      <c r="K11" s="277"/>
      <c r="L11" s="276">
        <v>1.338</v>
      </c>
      <c r="M11" s="277"/>
      <c r="N11" s="276">
        <v>1.338</v>
      </c>
      <c r="O11" s="277"/>
      <c r="P11" s="276">
        <v>1.338</v>
      </c>
      <c r="Q11" s="277"/>
      <c r="R11" s="276">
        <v>1.338</v>
      </c>
      <c r="S11" s="277"/>
      <c r="T11" s="276">
        <v>1.338</v>
      </c>
      <c r="U11" s="277"/>
      <c r="V11" s="276">
        <v>1.338</v>
      </c>
      <c r="W11" s="277"/>
      <c r="X11" s="276">
        <v>1.338</v>
      </c>
      <c r="Y11" s="277"/>
      <c r="Z11" s="276">
        <v>1.338</v>
      </c>
      <c r="AA11" s="277"/>
    </row>
    <row r="12" spans="1:27" ht="12.75">
      <c r="A12" s="138" t="s">
        <v>18</v>
      </c>
      <c r="B12" s="139" t="s">
        <v>19</v>
      </c>
      <c r="C12" s="94" t="s">
        <v>44</v>
      </c>
      <c r="D12" s="276"/>
      <c r="E12" s="277"/>
      <c r="F12" s="276"/>
      <c r="G12" s="277"/>
      <c r="H12" s="276"/>
      <c r="I12" s="277"/>
      <c r="J12" s="276"/>
      <c r="K12" s="277"/>
      <c r="L12" s="276"/>
      <c r="M12" s="277"/>
      <c r="N12" s="276"/>
      <c r="O12" s="277"/>
      <c r="P12" s="276"/>
      <c r="Q12" s="277"/>
      <c r="R12" s="276"/>
      <c r="S12" s="277"/>
      <c r="T12" s="276"/>
      <c r="U12" s="277"/>
      <c r="V12" s="276"/>
      <c r="W12" s="277"/>
      <c r="X12" s="276"/>
      <c r="Y12" s="277"/>
      <c r="Z12" s="276"/>
      <c r="AA12" s="277"/>
    </row>
    <row r="13" spans="1:27" ht="12.75">
      <c r="A13" s="136" t="s">
        <v>20</v>
      </c>
      <c r="B13" s="137" t="s">
        <v>21</v>
      </c>
      <c r="C13" s="94" t="s">
        <v>445</v>
      </c>
      <c r="D13" s="276"/>
      <c r="E13" s="277"/>
      <c r="F13" s="276"/>
      <c r="G13" s="277"/>
      <c r="H13" s="276"/>
      <c r="I13" s="277"/>
      <c r="J13" s="276"/>
      <c r="K13" s="277"/>
      <c r="L13" s="276"/>
      <c r="M13" s="277"/>
      <c r="N13" s="276"/>
      <c r="O13" s="277"/>
      <c r="P13" s="276"/>
      <c r="Q13" s="277"/>
      <c r="R13" s="276"/>
      <c r="S13" s="277"/>
      <c r="T13" s="276"/>
      <c r="U13" s="277"/>
      <c r="V13" s="276"/>
      <c r="W13" s="277"/>
      <c r="X13" s="276"/>
      <c r="Y13" s="277"/>
      <c r="Z13" s="276"/>
      <c r="AA13" s="277"/>
    </row>
    <row r="14" spans="1:27" ht="12.75">
      <c r="A14" s="136" t="s">
        <v>22</v>
      </c>
      <c r="B14" s="137" t="s">
        <v>27</v>
      </c>
      <c r="C14" s="94"/>
      <c r="D14" s="278"/>
      <c r="E14" s="279"/>
      <c r="F14" s="278"/>
      <c r="G14" s="279"/>
      <c r="H14" s="278"/>
      <c r="I14" s="279"/>
      <c r="J14" s="278"/>
      <c r="K14" s="279"/>
      <c r="L14" s="278"/>
      <c r="M14" s="279"/>
      <c r="N14" s="278"/>
      <c r="O14" s="279"/>
      <c r="P14" s="278"/>
      <c r="Q14" s="279"/>
      <c r="R14" s="278"/>
      <c r="S14" s="279"/>
      <c r="T14" s="278"/>
      <c r="U14" s="279"/>
      <c r="V14" s="278"/>
      <c r="W14" s="279"/>
      <c r="X14" s="278"/>
      <c r="Y14" s="279"/>
      <c r="Z14" s="278"/>
      <c r="AA14" s="279"/>
    </row>
    <row r="15" spans="1:27" ht="12.75">
      <c r="A15" s="138" t="s">
        <v>23</v>
      </c>
      <c r="B15" s="139" t="s">
        <v>15</v>
      </c>
      <c r="C15" s="94" t="s">
        <v>45</v>
      </c>
      <c r="D15" s="280"/>
      <c r="E15" s="281"/>
      <c r="F15" s="280"/>
      <c r="G15" s="281"/>
      <c r="H15" s="280"/>
      <c r="I15" s="281"/>
      <c r="J15" s="280"/>
      <c r="K15" s="281"/>
      <c r="L15" s="280"/>
      <c r="M15" s="281"/>
      <c r="N15" s="280"/>
      <c r="O15" s="281"/>
      <c r="P15" s="280"/>
      <c r="Q15" s="281"/>
      <c r="R15" s="280"/>
      <c r="S15" s="281"/>
      <c r="T15" s="280"/>
      <c r="U15" s="281"/>
      <c r="V15" s="280"/>
      <c r="W15" s="281"/>
      <c r="X15" s="280"/>
      <c r="Y15" s="281"/>
      <c r="Z15" s="280"/>
      <c r="AA15" s="281"/>
    </row>
    <row r="16" spans="1:27" ht="12.75">
      <c r="A16" s="138" t="s">
        <v>24</v>
      </c>
      <c r="B16" s="139" t="s">
        <v>16</v>
      </c>
      <c r="C16" s="94" t="s">
        <v>45</v>
      </c>
      <c r="D16" s="280"/>
      <c r="E16" s="281"/>
      <c r="F16" s="280"/>
      <c r="G16" s="281"/>
      <c r="H16" s="280"/>
      <c r="I16" s="281"/>
      <c r="J16" s="280"/>
      <c r="K16" s="281"/>
      <c r="L16" s="280"/>
      <c r="M16" s="281"/>
      <c r="N16" s="280"/>
      <c r="O16" s="281"/>
      <c r="P16" s="280"/>
      <c r="Q16" s="281"/>
      <c r="R16" s="280"/>
      <c r="S16" s="281"/>
      <c r="T16" s="280"/>
      <c r="U16" s="281"/>
      <c r="V16" s="280"/>
      <c r="W16" s="281"/>
      <c r="X16" s="280"/>
      <c r="Y16" s="281"/>
      <c r="Z16" s="280"/>
      <c r="AA16" s="281"/>
    </row>
    <row r="17" spans="1:27" ht="12.75">
      <c r="A17" s="138" t="s">
        <v>25</v>
      </c>
      <c r="B17" s="139" t="s">
        <v>17</v>
      </c>
      <c r="C17" s="94" t="s">
        <v>45</v>
      </c>
      <c r="D17" s="280">
        <v>4.43</v>
      </c>
      <c r="E17" s="281">
        <v>1.46</v>
      </c>
      <c r="F17" s="280">
        <v>5.39</v>
      </c>
      <c r="G17" s="281">
        <v>4.65</v>
      </c>
      <c r="H17" s="280">
        <v>4.65</v>
      </c>
      <c r="I17" s="281"/>
      <c r="J17" s="280">
        <v>4.97</v>
      </c>
      <c r="K17" s="281"/>
      <c r="L17" s="280">
        <v>4.97</v>
      </c>
      <c r="M17" s="281"/>
      <c r="N17" s="280">
        <v>5.31</v>
      </c>
      <c r="O17" s="281"/>
      <c r="P17" s="280">
        <v>5.31</v>
      </c>
      <c r="Q17" s="281"/>
      <c r="R17" s="280">
        <v>5.68</v>
      </c>
      <c r="S17" s="281"/>
      <c r="T17" s="280">
        <v>5.68</v>
      </c>
      <c r="U17" s="281"/>
      <c r="V17" s="280">
        <v>6.07</v>
      </c>
      <c r="W17" s="281"/>
      <c r="X17" s="280">
        <v>6.07</v>
      </c>
      <c r="Y17" s="281"/>
      <c r="Z17" s="280">
        <v>6.49</v>
      </c>
      <c r="AA17" s="281"/>
    </row>
    <row r="18" spans="1:27" ht="12.75">
      <c r="A18" s="138" t="s">
        <v>26</v>
      </c>
      <c r="B18" s="139" t="s">
        <v>19</v>
      </c>
      <c r="C18" s="94" t="s">
        <v>45</v>
      </c>
      <c r="D18" s="280"/>
      <c r="E18" s="281"/>
      <c r="F18" s="280"/>
      <c r="G18" s="281"/>
      <c r="H18" s="280"/>
      <c r="I18" s="281"/>
      <c r="J18" s="280"/>
      <c r="K18" s="281"/>
      <c r="L18" s="280"/>
      <c r="M18" s="281"/>
      <c r="N18" s="280"/>
      <c r="O18" s="281"/>
      <c r="P18" s="280"/>
      <c r="Q18" s="281"/>
      <c r="R18" s="280"/>
      <c r="S18" s="281"/>
      <c r="T18" s="280"/>
      <c r="U18" s="281"/>
      <c r="V18" s="280"/>
      <c r="W18" s="281"/>
      <c r="X18" s="280"/>
      <c r="Y18" s="281"/>
      <c r="Z18" s="280"/>
      <c r="AA18" s="281"/>
    </row>
    <row r="19" spans="1:27" ht="12.75">
      <c r="A19" s="136" t="s">
        <v>28</v>
      </c>
      <c r="B19" s="137" t="s">
        <v>29</v>
      </c>
      <c r="C19" s="94" t="s">
        <v>446</v>
      </c>
      <c r="D19" s="280"/>
      <c r="E19" s="281"/>
      <c r="F19" s="280"/>
      <c r="G19" s="281"/>
      <c r="H19" s="280"/>
      <c r="I19" s="281"/>
      <c r="J19" s="280"/>
      <c r="K19" s="281"/>
      <c r="L19" s="280"/>
      <c r="M19" s="281"/>
      <c r="N19" s="280"/>
      <c r="O19" s="281"/>
      <c r="P19" s="280"/>
      <c r="Q19" s="281"/>
      <c r="R19" s="280"/>
      <c r="S19" s="281"/>
      <c r="T19" s="280"/>
      <c r="U19" s="281"/>
      <c r="V19" s="280"/>
      <c r="W19" s="281"/>
      <c r="X19" s="280"/>
      <c r="Y19" s="281"/>
      <c r="Z19" s="280"/>
      <c r="AA19" s="281"/>
    </row>
    <row r="20" spans="1:27" ht="25.5">
      <c r="A20" s="136" t="s">
        <v>30</v>
      </c>
      <c r="B20" s="135" t="s">
        <v>31</v>
      </c>
      <c r="C20" s="202"/>
      <c r="D20" s="274"/>
      <c r="E20" s="275"/>
      <c r="F20" s="274"/>
      <c r="G20" s="275"/>
      <c r="H20" s="274"/>
      <c r="I20" s="275"/>
      <c r="J20" s="274"/>
      <c r="K20" s="275"/>
      <c r="L20" s="274"/>
      <c r="M20" s="275"/>
      <c r="N20" s="274"/>
      <c r="O20" s="275"/>
      <c r="P20" s="274"/>
      <c r="Q20" s="275"/>
      <c r="R20" s="274"/>
      <c r="S20" s="275"/>
      <c r="T20" s="274"/>
      <c r="U20" s="275"/>
      <c r="V20" s="274"/>
      <c r="W20" s="275"/>
      <c r="X20" s="274"/>
      <c r="Y20" s="275"/>
      <c r="Z20" s="274"/>
      <c r="AA20" s="275"/>
    </row>
    <row r="21" spans="1:27" ht="12.75">
      <c r="A21" s="138" t="s">
        <v>32</v>
      </c>
      <c r="B21" s="139" t="s">
        <v>15</v>
      </c>
      <c r="C21" s="94" t="s">
        <v>46</v>
      </c>
      <c r="D21" s="282">
        <f>D9*D15</f>
        <v>0</v>
      </c>
      <c r="E21" s="283">
        <f aca="true" t="shared" si="2" ref="D21:K24">E9*E15</f>
        <v>0</v>
      </c>
      <c r="F21" s="282">
        <f aca="true" t="shared" si="3" ref="F21:G24">F9*F15</f>
        <v>0</v>
      </c>
      <c r="G21" s="283">
        <f t="shared" si="3"/>
        <v>0</v>
      </c>
      <c r="H21" s="282">
        <f t="shared" si="2"/>
        <v>0</v>
      </c>
      <c r="I21" s="283">
        <f t="shared" si="2"/>
        <v>0</v>
      </c>
      <c r="J21" s="282">
        <f t="shared" si="2"/>
        <v>0</v>
      </c>
      <c r="K21" s="283">
        <f t="shared" si="2"/>
        <v>0</v>
      </c>
      <c r="L21" s="282">
        <f aca="true" t="shared" si="4" ref="L21:AA21">L9*L15</f>
        <v>0</v>
      </c>
      <c r="M21" s="283">
        <f t="shared" si="4"/>
        <v>0</v>
      </c>
      <c r="N21" s="282">
        <f t="shared" si="4"/>
        <v>0</v>
      </c>
      <c r="O21" s="283">
        <f t="shared" si="4"/>
        <v>0</v>
      </c>
      <c r="P21" s="282">
        <f t="shared" si="4"/>
        <v>0</v>
      </c>
      <c r="Q21" s="283">
        <f t="shared" si="4"/>
        <v>0</v>
      </c>
      <c r="R21" s="282">
        <f aca="true" t="shared" si="5" ref="R21:Y21">R9*R15</f>
        <v>0</v>
      </c>
      <c r="S21" s="283">
        <f t="shared" si="5"/>
        <v>0</v>
      </c>
      <c r="T21" s="282">
        <f t="shared" si="5"/>
        <v>0</v>
      </c>
      <c r="U21" s="283">
        <f t="shared" si="5"/>
        <v>0</v>
      </c>
      <c r="V21" s="282">
        <f t="shared" si="5"/>
        <v>0</v>
      </c>
      <c r="W21" s="283">
        <f t="shared" si="5"/>
        <v>0</v>
      </c>
      <c r="X21" s="282">
        <f t="shared" si="5"/>
        <v>0</v>
      </c>
      <c r="Y21" s="283">
        <f t="shared" si="5"/>
        <v>0</v>
      </c>
      <c r="Z21" s="282">
        <f t="shared" si="4"/>
        <v>0</v>
      </c>
      <c r="AA21" s="283">
        <f t="shared" si="4"/>
        <v>0</v>
      </c>
    </row>
    <row r="22" spans="1:27" ht="12.75">
      <c r="A22" s="138" t="s">
        <v>33</v>
      </c>
      <c r="B22" s="139" t="s">
        <v>16</v>
      </c>
      <c r="C22" s="94" t="s">
        <v>46</v>
      </c>
      <c r="D22" s="282">
        <f t="shared" si="2"/>
        <v>0</v>
      </c>
      <c r="E22" s="283">
        <f t="shared" si="2"/>
        <v>0</v>
      </c>
      <c r="F22" s="282">
        <f t="shared" si="3"/>
        <v>0</v>
      </c>
      <c r="G22" s="283">
        <f t="shared" si="3"/>
        <v>0</v>
      </c>
      <c r="H22" s="282">
        <f t="shared" si="2"/>
        <v>0</v>
      </c>
      <c r="I22" s="283">
        <f t="shared" si="2"/>
        <v>0</v>
      </c>
      <c r="J22" s="282">
        <f t="shared" si="2"/>
        <v>0</v>
      </c>
      <c r="K22" s="283">
        <f t="shared" si="2"/>
        <v>0</v>
      </c>
      <c r="L22" s="282">
        <f aca="true" t="shared" si="6" ref="L22:AA22">L10*L16</f>
        <v>0</v>
      </c>
      <c r="M22" s="283">
        <f t="shared" si="6"/>
        <v>0</v>
      </c>
      <c r="N22" s="282">
        <f t="shared" si="6"/>
        <v>0</v>
      </c>
      <c r="O22" s="283">
        <f t="shared" si="6"/>
        <v>0</v>
      </c>
      <c r="P22" s="282">
        <f t="shared" si="6"/>
        <v>0</v>
      </c>
      <c r="Q22" s="283">
        <f t="shared" si="6"/>
        <v>0</v>
      </c>
      <c r="R22" s="282">
        <f aca="true" t="shared" si="7" ref="R22:Y22">R10*R16</f>
        <v>0</v>
      </c>
      <c r="S22" s="283">
        <f t="shared" si="7"/>
        <v>0</v>
      </c>
      <c r="T22" s="282">
        <f t="shared" si="7"/>
        <v>0</v>
      </c>
      <c r="U22" s="283">
        <f t="shared" si="7"/>
        <v>0</v>
      </c>
      <c r="V22" s="282">
        <f t="shared" si="7"/>
        <v>0</v>
      </c>
      <c r="W22" s="283">
        <f t="shared" si="7"/>
        <v>0</v>
      </c>
      <c r="X22" s="282">
        <f t="shared" si="7"/>
        <v>0</v>
      </c>
      <c r="Y22" s="283">
        <f t="shared" si="7"/>
        <v>0</v>
      </c>
      <c r="Z22" s="282">
        <f t="shared" si="6"/>
        <v>0</v>
      </c>
      <c r="AA22" s="283">
        <f t="shared" si="6"/>
        <v>0</v>
      </c>
    </row>
    <row r="23" spans="1:27" ht="12.75">
      <c r="A23" s="138" t="s">
        <v>34</v>
      </c>
      <c r="B23" s="139" t="s">
        <v>17</v>
      </c>
      <c r="C23" s="94" t="s">
        <v>46</v>
      </c>
      <c r="D23" s="282">
        <f t="shared" si="2"/>
        <v>45.85</v>
      </c>
      <c r="E23" s="283">
        <f t="shared" si="2"/>
        <v>5.03</v>
      </c>
      <c r="F23" s="282">
        <f t="shared" si="3"/>
        <v>26.78</v>
      </c>
      <c r="G23" s="283">
        <f t="shared" si="3"/>
        <v>7.26</v>
      </c>
      <c r="H23" s="282">
        <f t="shared" si="2"/>
        <v>6.22</v>
      </c>
      <c r="I23" s="283">
        <f t="shared" si="2"/>
        <v>0</v>
      </c>
      <c r="J23" s="282">
        <f t="shared" si="2"/>
        <v>6.65</v>
      </c>
      <c r="K23" s="283">
        <f t="shared" si="2"/>
        <v>0</v>
      </c>
      <c r="L23" s="282">
        <f aca="true" t="shared" si="8" ref="L23:AA23">L11*L17</f>
        <v>6.65</v>
      </c>
      <c r="M23" s="283">
        <f t="shared" si="8"/>
        <v>0</v>
      </c>
      <c r="N23" s="282">
        <f t="shared" si="8"/>
        <v>7.1</v>
      </c>
      <c r="O23" s="283">
        <f t="shared" si="8"/>
        <v>0</v>
      </c>
      <c r="P23" s="282">
        <f t="shared" si="8"/>
        <v>7.1</v>
      </c>
      <c r="Q23" s="283">
        <f t="shared" si="8"/>
        <v>0</v>
      </c>
      <c r="R23" s="282">
        <f aca="true" t="shared" si="9" ref="R23:Y23">R11*R17</f>
        <v>7.6</v>
      </c>
      <c r="S23" s="283">
        <f t="shared" si="9"/>
        <v>0</v>
      </c>
      <c r="T23" s="282">
        <f t="shared" si="9"/>
        <v>7.6</v>
      </c>
      <c r="U23" s="283">
        <f t="shared" si="9"/>
        <v>0</v>
      </c>
      <c r="V23" s="282">
        <f t="shared" si="9"/>
        <v>8.12</v>
      </c>
      <c r="W23" s="283">
        <f t="shared" si="9"/>
        <v>0</v>
      </c>
      <c r="X23" s="282">
        <f t="shared" si="9"/>
        <v>8.12</v>
      </c>
      <c r="Y23" s="283">
        <f t="shared" si="9"/>
        <v>0</v>
      </c>
      <c r="Z23" s="282">
        <f t="shared" si="8"/>
        <v>8.68</v>
      </c>
      <c r="AA23" s="283">
        <f t="shared" si="8"/>
        <v>0</v>
      </c>
    </row>
    <row r="24" spans="1:27" ht="12.75">
      <c r="A24" s="138" t="s">
        <v>35</v>
      </c>
      <c r="B24" s="139" t="s">
        <v>19</v>
      </c>
      <c r="C24" s="94" t="s">
        <v>46</v>
      </c>
      <c r="D24" s="282">
        <f t="shared" si="2"/>
        <v>0</v>
      </c>
      <c r="E24" s="283">
        <f t="shared" si="2"/>
        <v>0</v>
      </c>
      <c r="F24" s="282">
        <f t="shared" si="3"/>
        <v>0</v>
      </c>
      <c r="G24" s="283">
        <f t="shared" si="3"/>
        <v>0</v>
      </c>
      <c r="H24" s="282">
        <f t="shared" si="2"/>
        <v>0</v>
      </c>
      <c r="I24" s="283">
        <f t="shared" si="2"/>
        <v>0</v>
      </c>
      <c r="J24" s="282">
        <f t="shared" si="2"/>
        <v>0</v>
      </c>
      <c r="K24" s="283">
        <f t="shared" si="2"/>
        <v>0</v>
      </c>
      <c r="L24" s="282">
        <f aca="true" t="shared" si="10" ref="L24:AA24">L12*L18</f>
        <v>0</v>
      </c>
      <c r="M24" s="283">
        <f t="shared" si="10"/>
        <v>0</v>
      </c>
      <c r="N24" s="282">
        <f t="shared" si="10"/>
        <v>0</v>
      </c>
      <c r="O24" s="283">
        <f t="shared" si="10"/>
        <v>0</v>
      </c>
      <c r="P24" s="282">
        <f t="shared" si="10"/>
        <v>0</v>
      </c>
      <c r="Q24" s="283">
        <f t="shared" si="10"/>
        <v>0</v>
      </c>
      <c r="R24" s="282">
        <f aca="true" t="shared" si="11" ref="R24:Y24">R12*R18</f>
        <v>0</v>
      </c>
      <c r="S24" s="283">
        <f t="shared" si="11"/>
        <v>0</v>
      </c>
      <c r="T24" s="282">
        <f t="shared" si="11"/>
        <v>0</v>
      </c>
      <c r="U24" s="283">
        <f t="shared" si="11"/>
        <v>0</v>
      </c>
      <c r="V24" s="282">
        <f t="shared" si="11"/>
        <v>0</v>
      </c>
      <c r="W24" s="283">
        <f t="shared" si="11"/>
        <v>0</v>
      </c>
      <c r="X24" s="282">
        <f t="shared" si="11"/>
        <v>0</v>
      </c>
      <c r="Y24" s="283">
        <f t="shared" si="11"/>
        <v>0</v>
      </c>
      <c r="Z24" s="282">
        <f t="shared" si="10"/>
        <v>0</v>
      </c>
      <c r="AA24" s="283">
        <f t="shared" si="10"/>
        <v>0</v>
      </c>
    </row>
    <row r="25" spans="1:27" ht="24" customHeight="1">
      <c r="A25" s="136" t="s">
        <v>36</v>
      </c>
      <c r="B25" s="135" t="s">
        <v>37</v>
      </c>
      <c r="C25" s="94" t="s">
        <v>45</v>
      </c>
      <c r="D25" s="284">
        <f aca="true" t="shared" si="12" ref="D25:AA25">IF(D8=0,0,(D21+D22+D23+D24)/D8)</f>
        <v>4.43</v>
      </c>
      <c r="E25" s="285">
        <f t="shared" si="12"/>
        <v>1.46</v>
      </c>
      <c r="F25" s="284">
        <f t="shared" si="12"/>
        <v>5.39</v>
      </c>
      <c r="G25" s="285">
        <f t="shared" si="12"/>
        <v>4.65</v>
      </c>
      <c r="H25" s="284">
        <f t="shared" si="12"/>
        <v>4.65</v>
      </c>
      <c r="I25" s="285">
        <f t="shared" si="12"/>
        <v>0</v>
      </c>
      <c r="J25" s="284">
        <f t="shared" si="12"/>
        <v>4.97</v>
      </c>
      <c r="K25" s="285">
        <f t="shared" si="12"/>
        <v>0</v>
      </c>
      <c r="L25" s="284">
        <f t="shared" si="12"/>
        <v>4.97</v>
      </c>
      <c r="M25" s="285">
        <f t="shared" si="12"/>
        <v>0</v>
      </c>
      <c r="N25" s="284">
        <f t="shared" si="12"/>
        <v>5.31</v>
      </c>
      <c r="O25" s="285">
        <f t="shared" si="12"/>
        <v>0</v>
      </c>
      <c r="P25" s="284">
        <f t="shared" si="12"/>
        <v>5.31</v>
      </c>
      <c r="Q25" s="285">
        <f t="shared" si="12"/>
        <v>0</v>
      </c>
      <c r="R25" s="284">
        <f aca="true" t="shared" si="13" ref="R25:Y25">IF(R8=0,0,(R21+R22+R23+R24)/R8)</f>
        <v>5.68</v>
      </c>
      <c r="S25" s="285">
        <f t="shared" si="13"/>
        <v>0</v>
      </c>
      <c r="T25" s="284">
        <f t="shared" si="13"/>
        <v>5.68</v>
      </c>
      <c r="U25" s="285">
        <f t="shared" si="13"/>
        <v>0</v>
      </c>
      <c r="V25" s="284">
        <f t="shared" si="13"/>
        <v>6.07</v>
      </c>
      <c r="W25" s="285">
        <f t="shared" si="13"/>
        <v>0</v>
      </c>
      <c r="X25" s="284">
        <f t="shared" si="13"/>
        <v>6.07</v>
      </c>
      <c r="Y25" s="285">
        <f t="shared" si="13"/>
        <v>0</v>
      </c>
      <c r="Z25" s="284">
        <f t="shared" si="12"/>
        <v>6.49</v>
      </c>
      <c r="AA25" s="285">
        <f t="shared" si="12"/>
        <v>0</v>
      </c>
    </row>
    <row r="26" spans="1:27" ht="12.75">
      <c r="A26" s="136" t="s">
        <v>38</v>
      </c>
      <c r="B26" s="137" t="s">
        <v>39</v>
      </c>
      <c r="C26" s="94" t="s">
        <v>46</v>
      </c>
      <c r="D26" s="282">
        <f>IF((ROUND(D6,3)=ROUND(D8,3)),D21+D22+D23+D24,0)</f>
        <v>45.85</v>
      </c>
      <c r="E26" s="283">
        <f>IF((ROUND(E6,3)=ROUND(E8,3)),E21+E22+E23+E24,0)</f>
        <v>5.03</v>
      </c>
      <c r="F26" s="282">
        <f aca="true" t="shared" si="14" ref="F26:AA26">IF((ROUND(F6,3)=ROUND(F8,3)),F21+F22+F23+F24,0)</f>
        <v>26.78</v>
      </c>
      <c r="G26" s="283">
        <f t="shared" si="14"/>
        <v>7.26</v>
      </c>
      <c r="H26" s="282">
        <f t="shared" si="14"/>
        <v>6.22</v>
      </c>
      <c r="I26" s="283">
        <f t="shared" si="14"/>
        <v>0</v>
      </c>
      <c r="J26" s="282">
        <f t="shared" si="14"/>
        <v>6.65</v>
      </c>
      <c r="K26" s="283">
        <f t="shared" si="14"/>
        <v>0</v>
      </c>
      <c r="L26" s="282">
        <f t="shared" si="14"/>
        <v>6.65</v>
      </c>
      <c r="M26" s="283">
        <f t="shared" si="14"/>
        <v>0</v>
      </c>
      <c r="N26" s="282">
        <f t="shared" si="14"/>
        <v>7.1</v>
      </c>
      <c r="O26" s="283">
        <f t="shared" si="14"/>
        <v>0</v>
      </c>
      <c r="P26" s="282">
        <f t="shared" si="14"/>
        <v>7.1</v>
      </c>
      <c r="Q26" s="283">
        <f t="shared" si="14"/>
        <v>0</v>
      </c>
      <c r="R26" s="282">
        <f t="shared" si="14"/>
        <v>7.6</v>
      </c>
      <c r="S26" s="283">
        <f t="shared" si="14"/>
        <v>0</v>
      </c>
      <c r="T26" s="282">
        <f t="shared" si="14"/>
        <v>7.6</v>
      </c>
      <c r="U26" s="283">
        <f t="shared" si="14"/>
        <v>0</v>
      </c>
      <c r="V26" s="282">
        <f t="shared" si="14"/>
        <v>8.12</v>
      </c>
      <c r="W26" s="283">
        <f t="shared" si="14"/>
        <v>0</v>
      </c>
      <c r="X26" s="282">
        <f t="shared" si="14"/>
        <v>8.12</v>
      </c>
      <c r="Y26" s="283">
        <f t="shared" si="14"/>
        <v>0</v>
      </c>
      <c r="Z26" s="282">
        <f t="shared" si="14"/>
        <v>8.68</v>
      </c>
      <c r="AA26" s="283">
        <f t="shared" si="14"/>
        <v>0</v>
      </c>
    </row>
    <row r="27" spans="1:27" ht="12.75">
      <c r="A27" s="136" t="s">
        <v>40</v>
      </c>
      <c r="B27" s="137" t="s">
        <v>41</v>
      </c>
      <c r="C27" s="94" t="s">
        <v>46</v>
      </c>
      <c r="D27" s="282">
        <f>D13*D19*12</f>
        <v>0</v>
      </c>
      <c r="E27" s="283">
        <f aca="true" t="shared" si="15" ref="E27:AA27">E13*E19*12</f>
        <v>0</v>
      </c>
      <c r="F27" s="282">
        <f t="shared" si="15"/>
        <v>0</v>
      </c>
      <c r="G27" s="283">
        <f t="shared" si="15"/>
        <v>0</v>
      </c>
      <c r="H27" s="282">
        <f t="shared" si="15"/>
        <v>0</v>
      </c>
      <c r="I27" s="283">
        <f t="shared" si="15"/>
        <v>0</v>
      </c>
      <c r="J27" s="282">
        <f t="shared" si="15"/>
        <v>0</v>
      </c>
      <c r="K27" s="283">
        <f t="shared" si="15"/>
        <v>0</v>
      </c>
      <c r="L27" s="282">
        <f t="shared" si="15"/>
        <v>0</v>
      </c>
      <c r="M27" s="283">
        <f t="shared" si="15"/>
        <v>0</v>
      </c>
      <c r="N27" s="282">
        <f t="shared" si="15"/>
        <v>0</v>
      </c>
      <c r="O27" s="283">
        <f t="shared" si="15"/>
        <v>0</v>
      </c>
      <c r="P27" s="282">
        <f t="shared" si="15"/>
        <v>0</v>
      </c>
      <c r="Q27" s="283">
        <f t="shared" si="15"/>
        <v>0</v>
      </c>
      <c r="R27" s="282">
        <f aca="true" t="shared" si="16" ref="R27:Y27">R13*R19*12</f>
        <v>0</v>
      </c>
      <c r="S27" s="283">
        <f t="shared" si="16"/>
        <v>0</v>
      </c>
      <c r="T27" s="282">
        <f t="shared" si="16"/>
        <v>0</v>
      </c>
      <c r="U27" s="283">
        <f t="shared" si="16"/>
        <v>0</v>
      </c>
      <c r="V27" s="282">
        <f t="shared" si="16"/>
        <v>0</v>
      </c>
      <c r="W27" s="283">
        <f t="shared" si="16"/>
        <v>0</v>
      </c>
      <c r="X27" s="282">
        <f t="shared" si="16"/>
        <v>0</v>
      </c>
      <c r="Y27" s="283">
        <f t="shared" si="16"/>
        <v>0</v>
      </c>
      <c r="Z27" s="282">
        <f t="shared" si="15"/>
        <v>0</v>
      </c>
      <c r="AA27" s="283">
        <f t="shared" si="15"/>
        <v>0</v>
      </c>
    </row>
    <row r="28" spans="1:27" ht="26.25" thickBot="1">
      <c r="A28" s="136" t="s">
        <v>42</v>
      </c>
      <c r="B28" s="135" t="s">
        <v>43</v>
      </c>
      <c r="C28" s="94" t="s">
        <v>46</v>
      </c>
      <c r="D28" s="286">
        <f>D26+D27</f>
        <v>45.85</v>
      </c>
      <c r="E28" s="287">
        <f aca="true" t="shared" si="17" ref="E28:K28">E26+E27</f>
        <v>5.03</v>
      </c>
      <c r="F28" s="286">
        <f>F26+F27</f>
        <v>26.78</v>
      </c>
      <c r="G28" s="287">
        <f>G26+G27</f>
        <v>7.26</v>
      </c>
      <c r="H28" s="286">
        <f t="shared" si="17"/>
        <v>6.22</v>
      </c>
      <c r="I28" s="287">
        <f t="shared" si="17"/>
        <v>0</v>
      </c>
      <c r="J28" s="286">
        <f t="shared" si="17"/>
        <v>6.65</v>
      </c>
      <c r="K28" s="287">
        <f t="shared" si="17"/>
        <v>0</v>
      </c>
      <c r="L28" s="286">
        <f aca="true" t="shared" si="18" ref="L28:AA28">L26+L27</f>
        <v>6.65</v>
      </c>
      <c r="M28" s="287">
        <f t="shared" si="18"/>
        <v>0</v>
      </c>
      <c r="N28" s="286">
        <f t="shared" si="18"/>
        <v>7.1</v>
      </c>
      <c r="O28" s="287">
        <f t="shared" si="18"/>
        <v>0</v>
      </c>
      <c r="P28" s="286">
        <f t="shared" si="18"/>
        <v>7.1</v>
      </c>
      <c r="Q28" s="287">
        <f t="shared" si="18"/>
        <v>0</v>
      </c>
      <c r="R28" s="286">
        <f aca="true" t="shared" si="19" ref="R28:Y28">R26+R27</f>
        <v>7.6</v>
      </c>
      <c r="S28" s="287">
        <f t="shared" si="19"/>
        <v>0</v>
      </c>
      <c r="T28" s="286">
        <f t="shared" si="19"/>
        <v>7.6</v>
      </c>
      <c r="U28" s="287">
        <f t="shared" si="19"/>
        <v>0</v>
      </c>
      <c r="V28" s="286">
        <f t="shared" si="19"/>
        <v>8.12</v>
      </c>
      <c r="W28" s="287">
        <f t="shared" si="19"/>
        <v>0</v>
      </c>
      <c r="X28" s="286">
        <f t="shared" si="19"/>
        <v>8.12</v>
      </c>
      <c r="Y28" s="287">
        <f t="shared" si="19"/>
        <v>0</v>
      </c>
      <c r="Z28" s="286">
        <f t="shared" si="18"/>
        <v>8.68</v>
      </c>
      <c r="AA28" s="287">
        <f t="shared" si="18"/>
        <v>0</v>
      </c>
    </row>
    <row r="29" ht="12.75">
      <c r="A29" s="140"/>
    </row>
    <row r="30" ht="12.75">
      <c r="A30" s="140"/>
    </row>
    <row r="31" spans="1:4" ht="12.75">
      <c r="A31" s="140"/>
      <c r="D31" s="27" t="s">
        <v>336</v>
      </c>
    </row>
    <row r="32" spans="1:28" s="81" customFormat="1" ht="13.5" customHeight="1">
      <c r="A32" s="930" t="s">
        <v>428</v>
      </c>
      <c r="B32" s="930"/>
      <c r="C32" s="930"/>
      <c r="D32" s="930"/>
      <c r="E32" s="930"/>
      <c r="F32" s="930"/>
      <c r="G32" s="930"/>
      <c r="H32" s="930"/>
      <c r="I32" s="930"/>
      <c r="J32" s="930"/>
      <c r="K32" s="930"/>
      <c r="L32" s="27"/>
      <c r="M32" s="27"/>
      <c r="N32" s="27"/>
      <c r="AB32"/>
    </row>
    <row r="33" spans="1:28" s="81" customFormat="1" ht="12.75" customHeight="1">
      <c r="A33" s="929" t="s">
        <v>429</v>
      </c>
      <c r="B33" s="929"/>
      <c r="C33" s="929"/>
      <c r="D33" s="929"/>
      <c r="E33" s="929"/>
      <c r="F33" s="929"/>
      <c r="G33" s="929"/>
      <c r="H33" s="929"/>
      <c r="I33" s="929"/>
      <c r="J33" s="929"/>
      <c r="K33" s="929"/>
      <c r="AB33"/>
    </row>
  </sheetData>
  <sheetProtection password="C8D1" sheet="1" scenarios="1" formatRows="0"/>
  <mergeCells count="26">
    <mergeCell ref="B3:B5"/>
    <mergeCell ref="D3:E3"/>
    <mergeCell ref="F3:G3"/>
    <mergeCell ref="A2:AA2"/>
    <mergeCell ref="N4:O4"/>
    <mergeCell ref="H3:K3"/>
    <mergeCell ref="L3:O3"/>
    <mergeCell ref="P3:S3"/>
    <mergeCell ref="T3:W3"/>
    <mergeCell ref="X3:AA3"/>
    <mergeCell ref="L4:M4"/>
    <mergeCell ref="D4:E4"/>
    <mergeCell ref="F4:G4"/>
    <mergeCell ref="H4:I4"/>
    <mergeCell ref="J4:K4"/>
    <mergeCell ref="Z4:AA4"/>
    <mergeCell ref="A32:K32"/>
    <mergeCell ref="A33:K33"/>
    <mergeCell ref="A1:AA1"/>
    <mergeCell ref="A3:A5"/>
    <mergeCell ref="P4:Q4"/>
    <mergeCell ref="R4:S4"/>
    <mergeCell ref="T4:U4"/>
    <mergeCell ref="V4:W4"/>
    <mergeCell ref="X4:Y4"/>
    <mergeCell ref="C3:C5"/>
  </mergeCells>
  <printOptions/>
  <pageMargins left="0.15748031496062992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C3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71.7109375" style="9" customWidth="1"/>
    <col min="3" max="3" width="84.57421875" style="4" customWidth="1"/>
    <col min="4" max="4" width="12.140625" style="32" customWidth="1"/>
    <col min="5" max="6" width="12.8515625" style="32" customWidth="1"/>
    <col min="7" max="7" width="12.7109375" style="32" customWidth="1"/>
    <col min="8" max="16384" width="9.140625" style="32" customWidth="1"/>
  </cols>
  <sheetData>
    <row r="1" spans="1:2" ht="12.75">
      <c r="A1" s="10"/>
      <c r="B1" s="11"/>
    </row>
    <row r="3" spans="1:3" ht="18">
      <c r="A3" s="2"/>
      <c r="B3" s="1" t="s">
        <v>381</v>
      </c>
      <c r="C3" s="198"/>
    </row>
    <row r="4" ht="18.75" thickBot="1">
      <c r="B4" s="3"/>
    </row>
    <row r="5" spans="1:3" ht="12.75">
      <c r="A5" s="12" t="s">
        <v>5</v>
      </c>
      <c r="B5" s="5" t="s">
        <v>6</v>
      </c>
      <c r="C5" s="168" t="s">
        <v>382</v>
      </c>
    </row>
    <row r="6" spans="1:3" ht="25.5">
      <c r="A6" s="17">
        <v>1</v>
      </c>
      <c r="B6" s="18" t="s">
        <v>383</v>
      </c>
      <c r="C6" s="169" t="s">
        <v>659</v>
      </c>
    </row>
    <row r="7" spans="1:3" ht="12.75">
      <c r="A7" s="17">
        <v>2</v>
      </c>
      <c r="B7" s="19" t="s">
        <v>384</v>
      </c>
      <c r="C7" s="169" t="s">
        <v>660</v>
      </c>
    </row>
    <row r="8" spans="1:3" ht="12.75">
      <c r="A8" s="17">
        <v>3</v>
      </c>
      <c r="B8" s="19" t="s">
        <v>385</v>
      </c>
      <c r="C8" s="169" t="s">
        <v>661</v>
      </c>
    </row>
    <row r="9" spans="1:3" ht="12.75">
      <c r="A9" s="17">
        <v>4</v>
      </c>
      <c r="B9" s="19" t="s">
        <v>386</v>
      </c>
      <c r="C9" s="169" t="s">
        <v>662</v>
      </c>
    </row>
    <row r="10" spans="1:3" ht="12.75">
      <c r="A10" s="17">
        <v>5</v>
      </c>
      <c r="B10" s="19" t="s">
        <v>387</v>
      </c>
      <c r="C10" s="169" t="s">
        <v>663</v>
      </c>
    </row>
    <row r="11" spans="1:3" ht="12.75">
      <c r="A11" s="17">
        <v>6</v>
      </c>
      <c r="B11" s="19" t="s">
        <v>388</v>
      </c>
      <c r="C11" s="169" t="s">
        <v>661</v>
      </c>
    </row>
    <row r="12" spans="1:3" ht="25.5">
      <c r="A12" s="17">
        <v>7</v>
      </c>
      <c r="B12" s="19" t="s">
        <v>389</v>
      </c>
      <c r="C12" s="169" t="s">
        <v>664</v>
      </c>
    </row>
    <row r="13" spans="1:3" ht="12.75">
      <c r="A13" s="17">
        <v>8</v>
      </c>
      <c r="B13" s="19" t="s">
        <v>390</v>
      </c>
      <c r="C13" s="170">
        <v>6025001060</v>
      </c>
    </row>
    <row r="14" spans="1:3" ht="12.75">
      <c r="A14" s="371">
        <v>9</v>
      </c>
      <c r="B14" s="372" t="s">
        <v>491</v>
      </c>
      <c r="C14" s="170" t="s">
        <v>665</v>
      </c>
    </row>
    <row r="15" spans="1:3" ht="12.75">
      <c r="A15" s="17">
        <v>10</v>
      </c>
      <c r="B15" s="19" t="s">
        <v>391</v>
      </c>
      <c r="C15" s="170">
        <v>602501001</v>
      </c>
    </row>
    <row r="16" spans="1:3" ht="12.75">
      <c r="A16" s="17">
        <v>11</v>
      </c>
      <c r="B16" s="19" t="s">
        <v>392</v>
      </c>
      <c r="C16" s="170">
        <v>58410000000</v>
      </c>
    </row>
    <row r="17" spans="1:3" ht="12.75">
      <c r="A17" s="17">
        <v>12</v>
      </c>
      <c r="B17" s="19" t="s">
        <v>393</v>
      </c>
      <c r="C17" s="169"/>
    </row>
    <row r="18" spans="1:3" ht="12.75">
      <c r="A18" s="17">
        <v>13</v>
      </c>
      <c r="B18" s="19" t="s">
        <v>394</v>
      </c>
      <c r="C18" s="170">
        <v>3297288</v>
      </c>
    </row>
    <row r="19" spans="1:3" ht="25.5">
      <c r="A19" s="17">
        <v>14</v>
      </c>
      <c r="B19" s="19" t="s">
        <v>395</v>
      </c>
      <c r="C19" s="169" t="s">
        <v>666</v>
      </c>
    </row>
    <row r="20" spans="1:3" ht="12.75">
      <c r="A20" s="17">
        <v>15</v>
      </c>
      <c r="B20" s="19" t="s">
        <v>396</v>
      </c>
      <c r="C20" s="170">
        <v>90213</v>
      </c>
    </row>
    <row r="21" spans="1:3" ht="12.75">
      <c r="A21" s="17">
        <v>16</v>
      </c>
      <c r="B21" s="19" t="s">
        <v>397</v>
      </c>
      <c r="C21" s="170">
        <v>49007</v>
      </c>
    </row>
    <row r="22" spans="1:3" ht="12.75">
      <c r="A22" s="17">
        <v>17</v>
      </c>
      <c r="B22" s="19" t="s">
        <v>398</v>
      </c>
      <c r="C22" s="170">
        <v>42</v>
      </c>
    </row>
    <row r="23" spans="1:3" ht="12.75">
      <c r="A23" s="17">
        <v>18</v>
      </c>
      <c r="B23" s="19" t="s">
        <v>399</v>
      </c>
      <c r="C23" s="170">
        <v>14</v>
      </c>
    </row>
    <row r="24" spans="1:3" ht="12.75">
      <c r="A24" s="17">
        <v>19</v>
      </c>
      <c r="B24" s="19" t="s">
        <v>400</v>
      </c>
      <c r="C24" s="169" t="s">
        <v>667</v>
      </c>
    </row>
    <row r="25" spans="1:3" ht="63.75">
      <c r="A25" s="17">
        <v>20</v>
      </c>
      <c r="B25" s="20" t="s">
        <v>401</v>
      </c>
      <c r="C25" s="169" t="s">
        <v>668</v>
      </c>
    </row>
    <row r="26" spans="1:3" ht="63.75">
      <c r="A26" s="17">
        <v>21</v>
      </c>
      <c r="B26" s="20" t="s">
        <v>402</v>
      </c>
      <c r="C26" s="169" t="s">
        <v>669</v>
      </c>
    </row>
    <row r="27" spans="1:3" ht="25.5">
      <c r="A27" s="17">
        <v>22</v>
      </c>
      <c r="B27" s="21" t="s">
        <v>403</v>
      </c>
      <c r="C27" s="169" t="s">
        <v>670</v>
      </c>
    </row>
    <row r="28" spans="1:3" ht="38.25">
      <c r="A28" s="17">
        <v>23</v>
      </c>
      <c r="B28" s="21" t="s">
        <v>404</v>
      </c>
      <c r="C28" s="169" t="s">
        <v>671</v>
      </c>
    </row>
    <row r="29" spans="1:3" ht="39" thickBot="1">
      <c r="A29" s="22">
        <v>24</v>
      </c>
      <c r="B29" s="23" t="s">
        <v>405</v>
      </c>
      <c r="C29" s="171" t="s">
        <v>672</v>
      </c>
    </row>
    <row r="30" ht="12.75">
      <c r="B30" s="6"/>
    </row>
    <row r="31" ht="12.75">
      <c r="B31" s="6"/>
    </row>
    <row r="32" spans="2:3" ht="12.75">
      <c r="B32" s="7" t="s">
        <v>698</v>
      </c>
      <c r="C32" s="8" t="s">
        <v>697</v>
      </c>
    </row>
    <row r="33" spans="2:3" ht="12.75">
      <c r="B33" s="172" t="s">
        <v>441</v>
      </c>
      <c r="C33" s="172" t="s">
        <v>406</v>
      </c>
    </row>
    <row r="35" ht="12.75">
      <c r="B35" s="9" t="s">
        <v>407</v>
      </c>
    </row>
  </sheetData>
  <sheetProtection sheet="1" scenarios="1" formatRows="0"/>
  <dataValidations count="1">
    <dataValidation showInputMessage="1" showErrorMessage="1" sqref="C6"/>
  </dataValidations>
  <printOptions/>
  <pageMargins left="0.5511811023622047" right="0" top="0.1968503937007874" bottom="0.1968503937007874" header="0" footer="0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_raw"/>
  <dimension ref="A1:AA77"/>
  <sheetViews>
    <sheetView zoomScale="90" zoomScaleNormal="90" zoomScalePageLayoutView="0" workbookViewId="0" topLeftCell="B1">
      <selection activeCell="F23" sqref="F23"/>
    </sheetView>
  </sheetViews>
  <sheetFormatPr defaultColWidth="9.140625" defaultRowHeight="12.75"/>
  <cols>
    <col min="1" max="1" width="6.28125" style="27" customWidth="1"/>
    <col min="2" max="2" width="33.28125" style="27" customWidth="1"/>
    <col min="3" max="3" width="8.28125" style="27" customWidth="1"/>
    <col min="4" max="11" width="17.28125" style="27" customWidth="1"/>
    <col min="12" max="16384" width="9.140625" style="27" customWidth="1"/>
  </cols>
  <sheetData>
    <row r="1" spans="1:11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11" ht="15">
      <c r="A2" s="1048" t="s">
        <v>175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</row>
    <row r="3" spans="1:11" ht="13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8.5" customHeight="1">
      <c r="A4" s="1045"/>
      <c r="B4" s="1049"/>
      <c r="C4" s="1042"/>
      <c r="D4" s="998" t="s">
        <v>536</v>
      </c>
      <c r="E4" s="999"/>
      <c r="F4" s="992" t="s">
        <v>537</v>
      </c>
      <c r="G4" s="1032"/>
      <c r="H4" s="1037" t="s">
        <v>571</v>
      </c>
      <c r="I4" s="1038"/>
      <c r="J4" s="1038"/>
      <c r="K4" s="994"/>
    </row>
    <row r="5" spans="1:11" ht="38.25" customHeight="1">
      <c r="A5" s="1046"/>
      <c r="B5" s="1050"/>
      <c r="C5" s="1043"/>
      <c r="D5" s="1028">
        <f>factYear</f>
        <v>2017</v>
      </c>
      <c r="E5" s="1030"/>
      <c r="F5" s="1028">
        <f>currYear</f>
        <v>2018</v>
      </c>
      <c r="G5" s="1030"/>
      <c r="H5" s="1021" t="str">
        <f>Заголовок!D17</f>
        <v>01.01.2019-30.06.2019</v>
      </c>
      <c r="I5" s="996"/>
      <c r="J5" s="1021" t="str">
        <f>Заголовок!E17</f>
        <v>01.07.2019-31.12.2019</v>
      </c>
      <c r="K5" s="996"/>
    </row>
    <row r="6" spans="1:11" ht="25.5">
      <c r="A6" s="1047"/>
      <c r="B6" s="982"/>
      <c r="C6" s="1044"/>
      <c r="D6" s="116" t="s">
        <v>161</v>
      </c>
      <c r="E6" s="90" t="s">
        <v>162</v>
      </c>
      <c r="F6" s="93" t="s">
        <v>161</v>
      </c>
      <c r="G6" s="107" t="s">
        <v>163</v>
      </c>
      <c r="H6" s="102" t="s">
        <v>164</v>
      </c>
      <c r="I6" s="96" t="s">
        <v>2</v>
      </c>
      <c r="J6" s="123" t="s">
        <v>164</v>
      </c>
      <c r="K6" s="96" t="s">
        <v>2</v>
      </c>
    </row>
    <row r="7" spans="1:11" s="86" customFormat="1" ht="13.5" thickBot="1">
      <c r="A7" s="192">
        <v>1</v>
      </c>
      <c r="B7" s="167">
        <v>2</v>
      </c>
      <c r="C7" s="193">
        <v>3</v>
      </c>
      <c r="D7" s="194">
        <v>3</v>
      </c>
      <c r="E7" s="186">
        <v>4</v>
      </c>
      <c r="F7" s="195">
        <v>5</v>
      </c>
      <c r="G7" s="185">
        <v>6</v>
      </c>
      <c r="H7" s="196">
        <v>7</v>
      </c>
      <c r="I7" s="166">
        <v>8</v>
      </c>
      <c r="J7" s="197">
        <v>9</v>
      </c>
      <c r="K7" s="166">
        <v>10</v>
      </c>
    </row>
    <row r="8" spans="1:11" ht="12.75">
      <c r="A8" s="126">
        <v>1</v>
      </c>
      <c r="B8" s="127" t="s">
        <v>156</v>
      </c>
      <c r="C8" s="128" t="s">
        <v>109</v>
      </c>
      <c r="D8" s="129">
        <f aca="true" t="shared" si="0" ref="D8:K8">SUMIF($B9:$B14,"Суммарные затраты",D9:D14)</f>
        <v>0</v>
      </c>
      <c r="E8" s="130">
        <f t="shared" si="0"/>
        <v>0</v>
      </c>
      <c r="F8" s="131">
        <f t="shared" si="0"/>
        <v>0</v>
      </c>
      <c r="G8" s="132">
        <f t="shared" si="0"/>
        <v>0</v>
      </c>
      <c r="H8" s="129">
        <f t="shared" si="0"/>
        <v>0</v>
      </c>
      <c r="I8" s="130">
        <f t="shared" si="0"/>
        <v>0</v>
      </c>
      <c r="J8" s="131">
        <f t="shared" si="0"/>
        <v>0</v>
      </c>
      <c r="K8" s="130">
        <f t="shared" si="0"/>
        <v>0</v>
      </c>
    </row>
    <row r="9" spans="1:11" ht="12.75" hidden="1">
      <c r="A9" s="97"/>
      <c r="B9" s="103"/>
      <c r="C9" s="104"/>
      <c r="D9" s="105"/>
      <c r="E9" s="105"/>
      <c r="F9" s="105"/>
      <c r="G9" s="105"/>
      <c r="H9" s="105"/>
      <c r="I9" s="105"/>
      <c r="J9" s="105"/>
      <c r="K9" s="106"/>
    </row>
    <row r="10" spans="1:11" ht="12.75">
      <c r="A10" s="98" t="s">
        <v>10</v>
      </c>
      <c r="B10" s="1039" t="s">
        <v>596</v>
      </c>
      <c r="C10" s="1040"/>
      <c r="D10" s="1040"/>
      <c r="E10" s="1040"/>
      <c r="F10" s="1040"/>
      <c r="G10" s="1040"/>
      <c r="H10" s="1040"/>
      <c r="I10" s="1040"/>
      <c r="J10" s="1040"/>
      <c r="K10" s="1041"/>
    </row>
    <row r="11" spans="1:11" ht="12.75">
      <c r="A11" s="98" t="s">
        <v>12</v>
      </c>
      <c r="B11" s="100" t="s">
        <v>157</v>
      </c>
      <c r="C11" s="94" t="s">
        <v>442</v>
      </c>
      <c r="D11" s="651"/>
      <c r="E11" s="654"/>
      <c r="F11" s="651"/>
      <c r="G11" s="654"/>
      <c r="H11" s="651"/>
      <c r="I11" s="654"/>
      <c r="J11" s="651"/>
      <c r="K11" s="654"/>
    </row>
    <row r="12" spans="1:11" ht="12.75">
      <c r="A12" s="98" t="s">
        <v>13</v>
      </c>
      <c r="B12" s="100" t="s">
        <v>158</v>
      </c>
      <c r="C12" s="94" t="s">
        <v>205</v>
      </c>
      <c r="D12" s="651"/>
      <c r="E12" s="654"/>
      <c r="F12" s="651"/>
      <c r="G12" s="654"/>
      <c r="H12" s="651"/>
      <c r="I12" s="654"/>
      <c r="J12" s="651"/>
      <c r="K12" s="654"/>
    </row>
    <row r="13" spans="1:11" ht="12.75">
      <c r="A13" s="98" t="s">
        <v>14</v>
      </c>
      <c r="B13" s="100" t="s">
        <v>159</v>
      </c>
      <c r="C13" s="94" t="s">
        <v>109</v>
      </c>
      <c r="D13" s="715">
        <f aca="true" t="shared" si="1" ref="D13:K13">(D11*D12)/1000</f>
        <v>0</v>
      </c>
      <c r="E13" s="716">
        <f t="shared" si="1"/>
        <v>0</v>
      </c>
      <c r="F13" s="433">
        <f t="shared" si="1"/>
        <v>0</v>
      </c>
      <c r="G13" s="432">
        <f t="shared" si="1"/>
        <v>0</v>
      </c>
      <c r="H13" s="433">
        <f t="shared" si="1"/>
        <v>0</v>
      </c>
      <c r="I13" s="432">
        <f t="shared" si="1"/>
        <v>0</v>
      </c>
      <c r="J13" s="433">
        <f t="shared" si="1"/>
        <v>0</v>
      </c>
      <c r="K13" s="432">
        <f t="shared" si="1"/>
        <v>0</v>
      </c>
    </row>
    <row r="14" spans="1:27" s="68" customFormat="1" ht="13.5" thickBot="1">
      <c r="A14" s="971" t="s">
        <v>335</v>
      </c>
      <c r="B14" s="890"/>
      <c r="C14" s="890"/>
      <c r="D14" s="890"/>
      <c r="E14" s="890"/>
      <c r="F14" s="890"/>
      <c r="G14" s="890"/>
      <c r="H14" s="890"/>
      <c r="I14" s="890"/>
      <c r="J14" s="890"/>
      <c r="K14" s="891"/>
      <c r="L14" s="16"/>
      <c r="M14" s="16"/>
      <c r="S14" s="16"/>
      <c r="T14" s="16"/>
      <c r="U14" s="16"/>
      <c r="V14" s="16"/>
      <c r="W14" s="16"/>
      <c r="X14" s="16"/>
      <c r="Y14" s="67"/>
      <c r="Z14" s="67"/>
      <c r="AA14" s="67"/>
    </row>
    <row r="15" spans="1:11" ht="51">
      <c r="A15" s="97">
        <v>2</v>
      </c>
      <c r="B15" s="99" t="s">
        <v>166</v>
      </c>
      <c r="C15" s="94" t="s">
        <v>109</v>
      </c>
      <c r="D15" s="129">
        <f aca="true" t="shared" si="2" ref="D15:K15">SUMIF($B16:$B29,"Суммарные затраты",D16:D29)</f>
        <v>15.6</v>
      </c>
      <c r="E15" s="130">
        <f t="shared" si="2"/>
        <v>0.1</v>
      </c>
      <c r="F15" s="131">
        <f t="shared" si="2"/>
        <v>15.75</v>
      </c>
      <c r="G15" s="132">
        <f t="shared" si="2"/>
        <v>0.82</v>
      </c>
      <c r="H15" s="129">
        <f t="shared" si="2"/>
        <v>0.85</v>
      </c>
      <c r="I15" s="130">
        <f t="shared" si="2"/>
        <v>0</v>
      </c>
      <c r="J15" s="131">
        <f t="shared" si="2"/>
        <v>0.9</v>
      </c>
      <c r="K15" s="130">
        <f t="shared" si="2"/>
        <v>0</v>
      </c>
    </row>
    <row r="16" spans="1:11" ht="12.75" hidden="1">
      <c r="A16" s="97"/>
      <c r="B16" s="103"/>
      <c r="C16" s="104"/>
      <c r="D16" s="105"/>
      <c r="E16" s="105"/>
      <c r="F16" s="105"/>
      <c r="G16" s="105"/>
      <c r="H16" s="105"/>
      <c r="I16" s="105"/>
      <c r="J16" s="105"/>
      <c r="K16" s="106"/>
    </row>
    <row r="17" spans="1:11" ht="12.75">
      <c r="A17" s="98" t="s">
        <v>76</v>
      </c>
      <c r="B17" s="1039" t="s">
        <v>679</v>
      </c>
      <c r="C17" s="1040"/>
      <c r="D17" s="1040"/>
      <c r="E17" s="1040"/>
      <c r="F17" s="1040"/>
      <c r="G17" s="1040"/>
      <c r="H17" s="1040"/>
      <c r="I17" s="1040"/>
      <c r="J17" s="1040"/>
      <c r="K17" s="1041"/>
    </row>
    <row r="18" spans="1:11" ht="12.75">
      <c r="A18" s="98" t="s">
        <v>167</v>
      </c>
      <c r="B18" s="100" t="s">
        <v>157</v>
      </c>
      <c r="C18" s="94" t="s">
        <v>443</v>
      </c>
      <c r="D18" s="651">
        <v>490</v>
      </c>
      <c r="E18" s="654">
        <v>3</v>
      </c>
      <c r="F18" s="651">
        <v>250</v>
      </c>
      <c r="G18" s="654">
        <v>11</v>
      </c>
      <c r="H18" s="651">
        <v>11</v>
      </c>
      <c r="I18" s="654"/>
      <c r="J18" s="651">
        <v>11.5</v>
      </c>
      <c r="K18" s="654"/>
    </row>
    <row r="19" spans="1:11" ht="12.75">
      <c r="A19" s="98" t="s">
        <v>168</v>
      </c>
      <c r="B19" s="100" t="s">
        <v>174</v>
      </c>
      <c r="C19" s="94" t="s">
        <v>205</v>
      </c>
      <c r="D19" s="651">
        <v>31.82</v>
      </c>
      <c r="E19" s="654">
        <v>32</v>
      </c>
      <c r="F19" s="651">
        <v>32</v>
      </c>
      <c r="G19" s="654">
        <v>34.41</v>
      </c>
      <c r="H19" s="651">
        <v>34.41</v>
      </c>
      <c r="I19" s="654"/>
      <c r="J19" s="651">
        <v>35.79</v>
      </c>
      <c r="K19" s="654"/>
    </row>
    <row r="20" spans="1:11" ht="12.75">
      <c r="A20" s="98" t="s">
        <v>169</v>
      </c>
      <c r="B20" s="100" t="s">
        <v>159</v>
      </c>
      <c r="C20" s="94" t="s">
        <v>109</v>
      </c>
      <c r="D20" s="433">
        <f aca="true" t="shared" si="3" ref="D20:K20">(D19*D18)/1000</f>
        <v>15.59</v>
      </c>
      <c r="E20" s="432">
        <f t="shared" si="3"/>
        <v>0.1</v>
      </c>
      <c r="F20" s="433">
        <f t="shared" si="3"/>
        <v>8</v>
      </c>
      <c r="G20" s="432">
        <f t="shared" si="3"/>
        <v>0.38</v>
      </c>
      <c r="H20" s="433">
        <f t="shared" si="3"/>
        <v>0.38</v>
      </c>
      <c r="I20" s="432">
        <f t="shared" si="3"/>
        <v>0</v>
      </c>
      <c r="J20" s="433">
        <f t="shared" si="3"/>
        <v>0.41</v>
      </c>
      <c r="K20" s="432">
        <f t="shared" si="3"/>
        <v>0</v>
      </c>
    </row>
    <row r="21" spans="1:12" ht="12.75">
      <c r="A21" s="98" t="s">
        <v>76</v>
      </c>
      <c r="B21" s="1039" t="s">
        <v>681</v>
      </c>
      <c r="C21" s="1040"/>
      <c r="D21" s="1040"/>
      <c r="E21" s="1040"/>
      <c r="F21" s="1040"/>
      <c r="G21" s="1040"/>
      <c r="H21" s="1040"/>
      <c r="I21" s="1040"/>
      <c r="J21" s="1040"/>
      <c r="K21" s="1041"/>
      <c r="L21" s="799" t="s">
        <v>676</v>
      </c>
    </row>
    <row r="22" spans="1:11" ht="12.75">
      <c r="A22" s="98" t="s">
        <v>167</v>
      </c>
      <c r="B22" s="100" t="s">
        <v>157</v>
      </c>
      <c r="C22" s="94" t="s">
        <v>443</v>
      </c>
      <c r="D22" s="651"/>
      <c r="E22" s="654"/>
      <c r="F22" s="651">
        <v>245</v>
      </c>
      <c r="G22" s="654">
        <v>12</v>
      </c>
      <c r="H22" s="651">
        <v>12.5</v>
      </c>
      <c r="I22" s="654"/>
      <c r="J22" s="651">
        <v>12.7</v>
      </c>
      <c r="K22" s="654"/>
    </row>
    <row r="23" spans="1:11" ht="12.75">
      <c r="A23" s="98" t="s">
        <v>168</v>
      </c>
      <c r="B23" s="100" t="s">
        <v>174</v>
      </c>
      <c r="C23" s="94" t="s">
        <v>205</v>
      </c>
      <c r="D23" s="651"/>
      <c r="E23" s="654"/>
      <c r="F23" s="651">
        <v>29.803</v>
      </c>
      <c r="G23" s="654">
        <v>35.08</v>
      </c>
      <c r="H23" s="651">
        <v>35.08</v>
      </c>
      <c r="I23" s="654"/>
      <c r="J23" s="651">
        <v>36.48</v>
      </c>
      <c r="K23" s="654"/>
    </row>
    <row r="24" spans="1:11" ht="12.75">
      <c r="A24" s="98" t="s">
        <v>169</v>
      </c>
      <c r="B24" s="100" t="s">
        <v>159</v>
      </c>
      <c r="C24" s="94" t="s">
        <v>109</v>
      </c>
      <c r="D24" s="433">
        <f aca="true" t="shared" si="4" ref="D24:K24">(D23*D22)/1000</f>
        <v>0</v>
      </c>
      <c r="E24" s="432">
        <f t="shared" si="4"/>
        <v>0</v>
      </c>
      <c r="F24" s="433">
        <f t="shared" si="4"/>
        <v>7.3</v>
      </c>
      <c r="G24" s="432">
        <f t="shared" si="4"/>
        <v>0.42</v>
      </c>
      <c r="H24" s="433">
        <f t="shared" si="4"/>
        <v>0.44</v>
      </c>
      <c r="I24" s="432">
        <f t="shared" si="4"/>
        <v>0</v>
      </c>
      <c r="J24" s="433">
        <f t="shared" si="4"/>
        <v>0.46</v>
      </c>
      <c r="K24" s="432">
        <f t="shared" si="4"/>
        <v>0</v>
      </c>
    </row>
    <row r="25" spans="1:12" ht="12.75">
      <c r="A25" s="98" t="s">
        <v>76</v>
      </c>
      <c r="B25" s="1039" t="s">
        <v>680</v>
      </c>
      <c r="C25" s="1040"/>
      <c r="D25" s="1040"/>
      <c r="E25" s="1040"/>
      <c r="F25" s="1040"/>
      <c r="G25" s="1040"/>
      <c r="H25" s="1040"/>
      <c r="I25" s="1040"/>
      <c r="J25" s="1040"/>
      <c r="K25" s="1041"/>
      <c r="L25" s="799" t="s">
        <v>676</v>
      </c>
    </row>
    <row r="26" spans="1:11" ht="12.75">
      <c r="A26" s="98" t="s">
        <v>167</v>
      </c>
      <c r="B26" s="100" t="s">
        <v>157</v>
      </c>
      <c r="C26" s="94" t="s">
        <v>443</v>
      </c>
      <c r="D26" s="651">
        <v>1</v>
      </c>
      <c r="E26" s="654"/>
      <c r="F26" s="651">
        <v>1</v>
      </c>
      <c r="G26" s="654">
        <v>1</v>
      </c>
      <c r="H26" s="651">
        <v>1</v>
      </c>
      <c r="I26" s="654"/>
      <c r="J26" s="651">
        <v>1</v>
      </c>
      <c r="K26" s="654"/>
    </row>
    <row r="27" spans="1:11" ht="12.75">
      <c r="A27" s="98" t="s">
        <v>168</v>
      </c>
      <c r="B27" s="100" t="s">
        <v>174</v>
      </c>
      <c r="C27" s="94" t="s">
        <v>205</v>
      </c>
      <c r="D27" s="651">
        <v>10</v>
      </c>
      <c r="E27" s="654"/>
      <c r="F27" s="651">
        <v>450</v>
      </c>
      <c r="G27" s="654">
        <v>20</v>
      </c>
      <c r="H27" s="651">
        <v>25</v>
      </c>
      <c r="I27" s="654"/>
      <c r="J27" s="651">
        <v>30</v>
      </c>
      <c r="K27" s="654"/>
    </row>
    <row r="28" spans="1:11" ht="12.75">
      <c r="A28" s="98" t="s">
        <v>169</v>
      </c>
      <c r="B28" s="100" t="s">
        <v>159</v>
      </c>
      <c r="C28" s="94" t="s">
        <v>109</v>
      </c>
      <c r="D28" s="433">
        <f aca="true" t="shared" si="5" ref="D28:K28">(D27*D26)/1000</f>
        <v>0.01</v>
      </c>
      <c r="E28" s="432">
        <f t="shared" si="5"/>
        <v>0</v>
      </c>
      <c r="F28" s="433">
        <f t="shared" si="5"/>
        <v>0.45</v>
      </c>
      <c r="G28" s="432">
        <f t="shared" si="5"/>
        <v>0.02</v>
      </c>
      <c r="H28" s="433">
        <f t="shared" si="5"/>
        <v>0.03</v>
      </c>
      <c r="I28" s="432">
        <f t="shared" si="5"/>
        <v>0</v>
      </c>
      <c r="J28" s="433">
        <f t="shared" si="5"/>
        <v>0.03</v>
      </c>
      <c r="K28" s="432">
        <f t="shared" si="5"/>
        <v>0</v>
      </c>
    </row>
    <row r="29" spans="1:27" s="68" customFormat="1" ht="13.5" thickBot="1">
      <c r="A29" s="971" t="s">
        <v>335</v>
      </c>
      <c r="B29" s="890"/>
      <c r="C29" s="890"/>
      <c r="D29" s="890"/>
      <c r="E29" s="890"/>
      <c r="F29" s="890"/>
      <c r="G29" s="890"/>
      <c r="H29" s="890"/>
      <c r="I29" s="890"/>
      <c r="J29" s="890"/>
      <c r="K29" s="891"/>
      <c r="L29" s="16"/>
      <c r="M29" s="16"/>
      <c r="S29" s="16"/>
      <c r="T29" s="16"/>
      <c r="U29" s="16"/>
      <c r="V29" s="16"/>
      <c r="W29" s="16"/>
      <c r="X29" s="16"/>
      <c r="Y29" s="67"/>
      <c r="Z29" s="67"/>
      <c r="AA29" s="67"/>
    </row>
    <row r="30" spans="1:11" ht="63.75">
      <c r="A30" s="97">
        <v>3</v>
      </c>
      <c r="B30" s="99" t="s">
        <v>286</v>
      </c>
      <c r="C30" s="94" t="s">
        <v>109</v>
      </c>
      <c r="D30" s="129">
        <f aca="true" t="shared" si="6" ref="D30:K30">SUMIF($B31:$B36,"Суммарные затраты",D31:D36)</f>
        <v>0</v>
      </c>
      <c r="E30" s="130">
        <f t="shared" si="6"/>
        <v>0</v>
      </c>
      <c r="F30" s="131">
        <f t="shared" si="6"/>
        <v>0</v>
      </c>
      <c r="G30" s="132">
        <f t="shared" si="6"/>
        <v>0</v>
      </c>
      <c r="H30" s="129">
        <f t="shared" si="6"/>
        <v>0</v>
      </c>
      <c r="I30" s="130">
        <f t="shared" si="6"/>
        <v>0</v>
      </c>
      <c r="J30" s="131">
        <f t="shared" si="6"/>
        <v>0</v>
      </c>
      <c r="K30" s="130">
        <f t="shared" si="6"/>
        <v>0</v>
      </c>
    </row>
    <row r="31" spans="1:11" ht="12.75" hidden="1">
      <c r="A31" s="97"/>
      <c r="B31" s="103"/>
      <c r="C31" s="104"/>
      <c r="D31" s="105"/>
      <c r="E31" s="105"/>
      <c r="F31" s="105"/>
      <c r="G31" s="105"/>
      <c r="H31" s="105"/>
      <c r="I31" s="105"/>
      <c r="J31" s="105"/>
      <c r="K31" s="106"/>
    </row>
    <row r="32" spans="1:11" ht="12.75">
      <c r="A32" s="98" t="s">
        <v>78</v>
      </c>
      <c r="B32" s="1039" t="s">
        <v>170</v>
      </c>
      <c r="C32" s="1040"/>
      <c r="D32" s="1040"/>
      <c r="E32" s="1040"/>
      <c r="F32" s="1040"/>
      <c r="G32" s="1040"/>
      <c r="H32" s="1040"/>
      <c r="I32" s="1040"/>
      <c r="J32" s="1040"/>
      <c r="K32" s="1041"/>
    </row>
    <row r="33" spans="1:11" ht="12.75">
      <c r="A33" s="98" t="s">
        <v>171</v>
      </c>
      <c r="B33" s="100" t="s">
        <v>157</v>
      </c>
      <c r="C33" s="94" t="s">
        <v>444</v>
      </c>
      <c r="D33" s="651"/>
      <c r="E33" s="654"/>
      <c r="F33" s="651"/>
      <c r="G33" s="654"/>
      <c r="H33" s="651"/>
      <c r="I33" s="654"/>
      <c r="J33" s="651"/>
      <c r="K33" s="654"/>
    </row>
    <row r="34" spans="1:11" ht="12.75">
      <c r="A34" s="98" t="s">
        <v>172</v>
      </c>
      <c r="B34" s="100" t="s">
        <v>174</v>
      </c>
      <c r="C34" s="94" t="s">
        <v>205</v>
      </c>
      <c r="D34" s="651"/>
      <c r="E34" s="654"/>
      <c r="F34" s="651"/>
      <c r="G34" s="654"/>
      <c r="H34" s="651"/>
      <c r="I34" s="654"/>
      <c r="J34" s="651"/>
      <c r="K34" s="654"/>
    </row>
    <row r="35" spans="1:11" ht="12.75">
      <c r="A35" s="98" t="s">
        <v>173</v>
      </c>
      <c r="B35" s="100" t="s">
        <v>159</v>
      </c>
      <c r="C35" s="94" t="s">
        <v>109</v>
      </c>
      <c r="D35" s="433">
        <f aca="true" t="shared" si="7" ref="D35:K35">(D33*D34)/1000</f>
        <v>0</v>
      </c>
      <c r="E35" s="432">
        <f t="shared" si="7"/>
        <v>0</v>
      </c>
      <c r="F35" s="433">
        <f t="shared" si="7"/>
        <v>0</v>
      </c>
      <c r="G35" s="432">
        <f t="shared" si="7"/>
        <v>0</v>
      </c>
      <c r="H35" s="433">
        <f t="shared" si="7"/>
        <v>0</v>
      </c>
      <c r="I35" s="432">
        <f t="shared" si="7"/>
        <v>0</v>
      </c>
      <c r="J35" s="433">
        <f t="shared" si="7"/>
        <v>0</v>
      </c>
      <c r="K35" s="432">
        <f t="shared" si="7"/>
        <v>0</v>
      </c>
    </row>
    <row r="36" spans="1:27" s="68" customFormat="1" ht="13.5" thickBot="1">
      <c r="A36" s="971" t="s">
        <v>335</v>
      </c>
      <c r="B36" s="890"/>
      <c r="C36" s="890"/>
      <c r="D36" s="890"/>
      <c r="E36" s="890"/>
      <c r="F36" s="890"/>
      <c r="G36" s="890"/>
      <c r="H36" s="890"/>
      <c r="I36" s="890"/>
      <c r="J36" s="890"/>
      <c r="K36" s="891"/>
      <c r="L36" s="16"/>
      <c r="M36" s="16"/>
      <c r="S36" s="16"/>
      <c r="T36" s="16"/>
      <c r="U36" s="16"/>
      <c r="V36" s="16"/>
      <c r="W36" s="16"/>
      <c r="X36" s="16"/>
      <c r="Y36" s="67"/>
      <c r="Z36" s="67"/>
      <c r="AA36" s="67"/>
    </row>
    <row r="37" spans="1:11" ht="12.75">
      <c r="A37" s="95"/>
      <c r="H37" s="85"/>
      <c r="I37" s="85"/>
      <c r="J37" s="85"/>
      <c r="K37" s="85"/>
    </row>
    <row r="38" ht="12.75">
      <c r="A38" s="95"/>
    </row>
    <row r="39" ht="12.75">
      <c r="A39" s="95"/>
    </row>
    <row r="40" ht="12.75">
      <c r="A40" s="95"/>
    </row>
    <row r="41" spans="1:14" s="81" customFormat="1" ht="13.5" customHeight="1" thickBot="1">
      <c r="A41" s="965" t="s">
        <v>428</v>
      </c>
      <c r="B41" s="965"/>
      <c r="C41" s="965"/>
      <c r="D41" s="965"/>
      <c r="E41" s="965"/>
      <c r="F41" s="965"/>
      <c r="G41" s="965"/>
      <c r="H41" s="965"/>
      <c r="I41" s="965"/>
      <c r="J41" s="965"/>
      <c r="K41" s="965"/>
      <c r="L41" s="27"/>
      <c r="M41" s="27"/>
      <c r="N41" s="27"/>
    </row>
    <row r="42" spans="1:11" s="81" customFormat="1" ht="12.75" customHeight="1">
      <c r="A42" s="929" t="s">
        <v>429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</row>
    <row r="43" ht="12.75">
      <c r="A43" s="95"/>
    </row>
    <row r="44" ht="12.75">
      <c r="A44" s="95"/>
    </row>
    <row r="45" ht="12.75">
      <c r="A45" s="95"/>
    </row>
    <row r="46" ht="12.75">
      <c r="A46" s="95"/>
    </row>
    <row r="47" ht="12.75">
      <c r="A47" s="95"/>
    </row>
    <row r="48" ht="12.75">
      <c r="A48" s="95"/>
    </row>
    <row r="49" ht="12.75">
      <c r="A49" s="95"/>
    </row>
    <row r="50" ht="12.75">
      <c r="A50" s="95"/>
    </row>
    <row r="51" ht="12.75">
      <c r="A51" s="95"/>
    </row>
    <row r="52" ht="12.75">
      <c r="A52" s="95"/>
    </row>
    <row r="53" ht="12.75">
      <c r="A53" s="95"/>
    </row>
    <row r="54" ht="12.75">
      <c r="A54" s="95"/>
    </row>
    <row r="55" ht="12.75">
      <c r="A55" s="95"/>
    </row>
    <row r="56" ht="12.75">
      <c r="A56" s="95"/>
    </row>
    <row r="57" ht="12.75">
      <c r="A57" s="95"/>
    </row>
    <row r="58" ht="12.75">
      <c r="A58" s="95"/>
    </row>
    <row r="59" ht="12.75">
      <c r="A59" s="95"/>
    </row>
    <row r="60" ht="12.75">
      <c r="A60" s="95"/>
    </row>
    <row r="61" ht="12.75">
      <c r="A61" s="95"/>
    </row>
    <row r="62" ht="12.75">
      <c r="A62" s="95"/>
    </row>
    <row r="63" ht="12.75">
      <c r="A63" s="95"/>
    </row>
    <row r="64" ht="12.75">
      <c r="A64" s="95"/>
    </row>
    <row r="65" ht="12.75">
      <c r="A65" s="95"/>
    </row>
    <row r="66" ht="12.75">
      <c r="A66" s="95"/>
    </row>
    <row r="67" ht="12.75">
      <c r="A67" s="95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ht="12.75">
      <c r="A72" s="95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</sheetData>
  <sheetProtection password="C8D1" sheet="1" objects="1" scenarios="1" formatCells="0" formatRows="0"/>
  <mergeCells count="22">
    <mergeCell ref="B17:K17"/>
    <mergeCell ref="B21:K21"/>
    <mergeCell ref="A1:K1"/>
    <mergeCell ref="C4:C6"/>
    <mergeCell ref="D4:E4"/>
    <mergeCell ref="F4:G4"/>
    <mergeCell ref="A4:A6"/>
    <mergeCell ref="A2:K2"/>
    <mergeCell ref="B4:B6"/>
    <mergeCell ref="D5:E5"/>
    <mergeCell ref="A41:K41"/>
    <mergeCell ref="A42:K42"/>
    <mergeCell ref="A36:K36"/>
    <mergeCell ref="B32:K32"/>
    <mergeCell ref="A29:K29"/>
    <mergeCell ref="B25:K25"/>
    <mergeCell ref="J5:K5"/>
    <mergeCell ref="H4:K4"/>
    <mergeCell ref="B10:K10"/>
    <mergeCell ref="A14:K14"/>
    <mergeCell ref="F5:G5"/>
    <mergeCell ref="H5:I5"/>
  </mergeCells>
  <hyperlinks>
    <hyperlink ref="A14" tooltip="Кликните по гиперссылке для добавления новой строки" display="Добавить строки"/>
    <hyperlink ref="A29" tooltip="Кликните по гиперссылке для добавления новой строки" display="Добавить строки"/>
    <hyperlink ref="A36" tooltip="Кликните по гиперссылке для добавления новой строки" display="Добавить строки"/>
    <hyperlink ref="L25" tooltip="Нажмите для удаления текущей строки" display="Удалить"/>
    <hyperlink ref="L21" tooltip="Нажмите для удаления текущей строки" display="Удалить"/>
  </hyperlinks>
  <printOptions/>
  <pageMargins left="0.15748031496062992" right="0" top="0.1968503937007874" bottom="0" header="0" footer="0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3"/>
  <dimension ref="A1:AI49"/>
  <sheetViews>
    <sheetView zoomScalePageLayoutView="0" workbookViewId="0" topLeftCell="E1">
      <selection activeCell="J6" sqref="J6"/>
    </sheetView>
  </sheetViews>
  <sheetFormatPr defaultColWidth="9.140625" defaultRowHeight="12.75"/>
  <cols>
    <col min="1" max="1" width="6.28125" style="32" customWidth="1"/>
    <col min="2" max="2" width="33.28125" style="32" customWidth="1"/>
    <col min="3" max="3" width="10.421875" style="32" customWidth="1"/>
    <col min="4" max="9" width="9.140625" style="32" customWidth="1"/>
    <col min="10" max="10" width="12.421875" style="32" customWidth="1"/>
    <col min="11" max="11" width="12.7109375" style="32" customWidth="1"/>
    <col min="12" max="13" width="9.140625" style="32" customWidth="1"/>
    <col min="14" max="14" width="13.140625" style="32" customWidth="1"/>
    <col min="15" max="15" width="12.57421875" style="32" customWidth="1"/>
    <col min="16" max="16384" width="9.140625" style="32" customWidth="1"/>
  </cols>
  <sheetData>
    <row r="1" spans="1:17" ht="12.75">
      <c r="A1" s="846" t="str">
        <f>org</f>
        <v>Муниципальное предприятие по эксплуатации систем водоснабжения и водоотведения "Водоканал" г.Великие Луки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1:35" ht="30.75" customHeight="1" thickBot="1">
      <c r="A2" s="844" t="s">
        <v>176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  <c r="AE2" s="1051"/>
      <c r="AF2" s="1051"/>
      <c r="AG2" s="1051"/>
      <c r="AH2" s="1051"/>
      <c r="AI2" s="1051"/>
    </row>
    <row r="3" spans="1:18" ht="23.25" customHeight="1">
      <c r="A3" s="840" t="s">
        <v>0</v>
      </c>
      <c r="B3" s="817" t="s">
        <v>4</v>
      </c>
      <c r="C3" s="1052" t="s">
        <v>160</v>
      </c>
      <c r="D3" s="998" t="s">
        <v>536</v>
      </c>
      <c r="E3" s="999"/>
      <c r="F3" s="992" t="s">
        <v>537</v>
      </c>
      <c r="G3" s="1032"/>
      <c r="H3" s="1055" t="s">
        <v>179</v>
      </c>
      <c r="I3" s="989"/>
      <c r="J3" s="1055" t="s">
        <v>571</v>
      </c>
      <c r="K3" s="989"/>
      <c r="L3" s="989"/>
      <c r="M3" s="989"/>
      <c r="N3" s="989"/>
      <c r="O3" s="989"/>
      <c r="P3" s="989"/>
      <c r="Q3" s="990"/>
      <c r="R3" s="52"/>
    </row>
    <row r="4" spans="1:18" ht="23.25" customHeight="1">
      <c r="A4" s="982"/>
      <c r="B4" s="1008"/>
      <c r="C4" s="1053"/>
      <c r="D4" s="995">
        <f>Заголовок!C14</f>
        <v>2017</v>
      </c>
      <c r="E4" s="996"/>
      <c r="F4" s="995">
        <f>Заголовок!C15</f>
        <v>2018</v>
      </c>
      <c r="G4" s="996"/>
      <c r="H4" s="1056"/>
      <c r="I4" s="1057"/>
      <c r="J4" s="1061" t="str">
        <f>Заголовок!D17</f>
        <v>01.01.2019-30.06.2019</v>
      </c>
      <c r="K4" s="1058"/>
      <c r="L4" s="1058" t="s">
        <v>179</v>
      </c>
      <c r="M4" s="1059"/>
      <c r="N4" s="1062" t="str">
        <f>Заголовок!E17</f>
        <v>01.07.2019-31.12.2019</v>
      </c>
      <c r="O4" s="1058"/>
      <c r="P4" s="1058" t="s">
        <v>179</v>
      </c>
      <c r="Q4" s="1060"/>
      <c r="R4" s="52"/>
    </row>
    <row r="5" spans="1:17" ht="28.5" customHeight="1">
      <c r="A5" s="983"/>
      <c r="B5" s="845"/>
      <c r="C5" s="1054"/>
      <c r="D5" s="116" t="s">
        <v>161</v>
      </c>
      <c r="E5" s="90" t="s">
        <v>162</v>
      </c>
      <c r="F5" s="93" t="s">
        <v>161</v>
      </c>
      <c r="G5" s="107" t="s">
        <v>163</v>
      </c>
      <c r="H5" s="102" t="s">
        <v>180</v>
      </c>
      <c r="I5" s="108" t="s">
        <v>182</v>
      </c>
      <c r="J5" s="102" t="s">
        <v>164</v>
      </c>
      <c r="K5" s="108" t="s">
        <v>2</v>
      </c>
      <c r="L5" s="102" t="s">
        <v>181</v>
      </c>
      <c r="M5" s="96" t="s">
        <v>183</v>
      </c>
      <c r="N5" s="123" t="s">
        <v>164</v>
      </c>
      <c r="O5" s="108" t="s">
        <v>2</v>
      </c>
      <c r="P5" s="102" t="s">
        <v>184</v>
      </c>
      <c r="Q5" s="96" t="s">
        <v>185</v>
      </c>
    </row>
    <row r="6" spans="1:17" ht="13.5" thickBot="1">
      <c r="A6" s="299">
        <v>1</v>
      </c>
      <c r="B6" s="300">
        <v>2</v>
      </c>
      <c r="C6" s="301">
        <v>3</v>
      </c>
      <c r="D6" s="299">
        <v>4</v>
      </c>
      <c r="E6" s="302">
        <v>5</v>
      </c>
      <c r="F6" s="303">
        <v>6</v>
      </c>
      <c r="G6" s="301">
        <v>7</v>
      </c>
      <c r="H6" s="299">
        <v>8</v>
      </c>
      <c r="I6" s="301">
        <v>9</v>
      </c>
      <c r="J6" s="299">
        <v>10</v>
      </c>
      <c r="K6" s="301">
        <v>11</v>
      </c>
      <c r="L6" s="299">
        <v>12</v>
      </c>
      <c r="M6" s="302">
        <v>13</v>
      </c>
      <c r="N6" s="303">
        <v>14</v>
      </c>
      <c r="O6" s="301">
        <v>15</v>
      </c>
      <c r="P6" s="299">
        <v>15</v>
      </c>
      <c r="Q6" s="302">
        <v>16</v>
      </c>
    </row>
    <row r="7" spans="1:17" ht="12.75">
      <c r="A7" s="290"/>
      <c r="B7" s="291" t="s">
        <v>105</v>
      </c>
      <c r="C7" s="128" t="s">
        <v>109</v>
      </c>
      <c r="D7" s="292">
        <f>D8+D9+D10</f>
        <v>15.6</v>
      </c>
      <c r="E7" s="293">
        <f>E8+E9+E10</f>
        <v>0.1</v>
      </c>
      <c r="F7" s="294">
        <f>F8+F9+F10</f>
        <v>15.75</v>
      </c>
      <c r="G7" s="295">
        <f>G8+G9+G10</f>
        <v>0.82</v>
      </c>
      <c r="H7" s="296">
        <f aca="true" t="shared" si="0" ref="H7:I10">IF(D7=0,0,F7/D7*100)</f>
        <v>100.96</v>
      </c>
      <c r="I7" s="297">
        <f t="shared" si="0"/>
        <v>820</v>
      </c>
      <c r="J7" s="292">
        <f>J8+J9+J10</f>
        <v>0.85</v>
      </c>
      <c r="K7" s="295">
        <f>K8+K9+K10</f>
        <v>0</v>
      </c>
      <c r="L7" s="296">
        <f>IF(G7*100=0,0,J7/G7*100)</f>
        <v>103.66</v>
      </c>
      <c r="M7" s="298">
        <f>IF(G7*100=0,0,K7/G7*100)</f>
        <v>0</v>
      </c>
      <c r="N7" s="294">
        <f>N8+N9+N10</f>
        <v>0.9</v>
      </c>
      <c r="O7" s="295">
        <f>O8+O9+O10</f>
        <v>0</v>
      </c>
      <c r="P7" s="296">
        <f aca="true" t="shared" si="1" ref="P7:Q10">IF(J7=0,0,N7/J7*100)</f>
        <v>105.88</v>
      </c>
      <c r="Q7" s="298">
        <f t="shared" si="1"/>
        <v>0</v>
      </c>
    </row>
    <row r="8" spans="1:17" ht="12.75">
      <c r="A8" s="109">
        <v>1</v>
      </c>
      <c r="B8" s="450" t="s">
        <v>156</v>
      </c>
      <c r="C8" s="94" t="s">
        <v>109</v>
      </c>
      <c r="D8" s="117">
        <f>Сырье!D8</f>
        <v>0</v>
      </c>
      <c r="E8" s="118">
        <f>Сырье!E8</f>
        <v>0</v>
      </c>
      <c r="F8" s="114">
        <f>Сырье!F8</f>
        <v>0</v>
      </c>
      <c r="G8" s="121">
        <f>Сырье!G8</f>
        <v>0</v>
      </c>
      <c r="H8" s="124">
        <f t="shared" si="0"/>
        <v>0</v>
      </c>
      <c r="I8" s="288">
        <f t="shared" si="0"/>
        <v>0</v>
      </c>
      <c r="J8" s="117">
        <f>Сырье!H8</f>
        <v>0</v>
      </c>
      <c r="K8" s="121">
        <f>Сырье!I8</f>
        <v>0</v>
      </c>
      <c r="L8" s="124">
        <f>IF(G8*100=0,0,J8/G8*100)</f>
        <v>0</v>
      </c>
      <c r="M8" s="110">
        <f>IF(G8*100=0,0,K8/G8*100)</f>
        <v>0</v>
      </c>
      <c r="N8" s="114">
        <f>Сырье!J8</f>
        <v>0</v>
      </c>
      <c r="O8" s="121">
        <f>Сырье!K8</f>
        <v>0</v>
      </c>
      <c r="P8" s="124">
        <f t="shared" si="1"/>
        <v>0</v>
      </c>
      <c r="Q8" s="110">
        <f t="shared" si="1"/>
        <v>0</v>
      </c>
    </row>
    <row r="9" spans="1:17" ht="12.75">
      <c r="A9" s="109" t="s">
        <v>110</v>
      </c>
      <c r="B9" s="451" t="s">
        <v>177</v>
      </c>
      <c r="C9" s="94" t="s">
        <v>109</v>
      </c>
      <c r="D9" s="117">
        <f>Сырье!D15</f>
        <v>15.6</v>
      </c>
      <c r="E9" s="118">
        <f>Сырье!E15</f>
        <v>0.1</v>
      </c>
      <c r="F9" s="114">
        <f>Сырье!F15</f>
        <v>15.75</v>
      </c>
      <c r="G9" s="121">
        <f>Сырье!G15</f>
        <v>0.82</v>
      </c>
      <c r="H9" s="124">
        <f t="shared" si="0"/>
        <v>100.96</v>
      </c>
      <c r="I9" s="288">
        <f t="shared" si="0"/>
        <v>820</v>
      </c>
      <c r="J9" s="117">
        <f>Сырье!H15</f>
        <v>0.85</v>
      </c>
      <c r="K9" s="121">
        <f>Сырье!I15</f>
        <v>0</v>
      </c>
      <c r="L9" s="124">
        <f>IF(G9*100=0,0,J9/G9*100)</f>
        <v>103.66</v>
      </c>
      <c r="M9" s="110">
        <f>IF(G9*100=0,0,K9/G9*100)</f>
        <v>0</v>
      </c>
      <c r="N9" s="114">
        <f>Сырье!J15</f>
        <v>0.9</v>
      </c>
      <c r="O9" s="121">
        <f>Сырье!K15</f>
        <v>0</v>
      </c>
      <c r="P9" s="124">
        <f t="shared" si="1"/>
        <v>105.88</v>
      </c>
      <c r="Q9" s="110">
        <f t="shared" si="1"/>
        <v>0</v>
      </c>
    </row>
    <row r="10" spans="1:17" ht="26.25" thickBot="1">
      <c r="A10" s="111" t="s">
        <v>122</v>
      </c>
      <c r="B10" s="452" t="s">
        <v>178</v>
      </c>
      <c r="C10" s="113" t="s">
        <v>109</v>
      </c>
      <c r="D10" s="119">
        <f>Сырье!D30</f>
        <v>0</v>
      </c>
      <c r="E10" s="120">
        <f>Сырье!E30</f>
        <v>0</v>
      </c>
      <c r="F10" s="115">
        <f>Сырье!F30</f>
        <v>0</v>
      </c>
      <c r="G10" s="122">
        <f>Сырье!G30</f>
        <v>0</v>
      </c>
      <c r="H10" s="125">
        <f t="shared" si="0"/>
        <v>0</v>
      </c>
      <c r="I10" s="289">
        <f t="shared" si="0"/>
        <v>0</v>
      </c>
      <c r="J10" s="119">
        <f>Сырье!H30</f>
        <v>0</v>
      </c>
      <c r="K10" s="122">
        <f>Сырье!I30</f>
        <v>0</v>
      </c>
      <c r="L10" s="125">
        <f>IF(G10*100=0,0,J10/G10*100)</f>
        <v>0</v>
      </c>
      <c r="M10" s="112">
        <f>IF(G10*100=0,0,K10/G10*100)</f>
        <v>0</v>
      </c>
      <c r="N10" s="115">
        <f>Сырье!J30</f>
        <v>0</v>
      </c>
      <c r="O10" s="122">
        <f>Сырье!K30</f>
        <v>0</v>
      </c>
      <c r="P10" s="125">
        <f t="shared" si="1"/>
        <v>0</v>
      </c>
      <c r="Q10" s="112">
        <f t="shared" si="1"/>
        <v>0</v>
      </c>
    </row>
    <row r="11" ht="12.75">
      <c r="A11" s="51"/>
    </row>
    <row r="12" spans="1:7" ht="12.75">
      <c r="A12" s="51"/>
      <c r="B12" s="53"/>
      <c r="C12" s="53"/>
      <c r="D12" s="53"/>
      <c r="E12" s="53"/>
      <c r="F12" s="54"/>
      <c r="G12" s="54"/>
    </row>
    <row r="13" ht="12.75">
      <c r="A13" s="51"/>
    </row>
    <row r="14" ht="12.75">
      <c r="A14" s="51"/>
    </row>
    <row r="15" ht="12.75">
      <c r="A15" s="51"/>
    </row>
    <row r="16" ht="12.75">
      <c r="A16" s="51"/>
    </row>
    <row r="17" ht="12.75">
      <c r="A17" s="51"/>
    </row>
    <row r="18" ht="12.75">
      <c r="A18" s="51"/>
    </row>
    <row r="19" ht="12.75">
      <c r="A19" s="51"/>
    </row>
    <row r="20" ht="12.75">
      <c r="A20" s="51"/>
    </row>
    <row r="21" ht="12.75">
      <c r="A21" s="51"/>
    </row>
    <row r="22" ht="12.75">
      <c r="A22" s="51"/>
    </row>
    <row r="23" ht="12.75">
      <c r="A23" s="51"/>
    </row>
    <row r="24" ht="12.75">
      <c r="A24" s="51"/>
    </row>
    <row r="25" ht="12.75">
      <c r="A25" s="51"/>
    </row>
    <row r="26" ht="12.75">
      <c r="A26" s="51"/>
    </row>
    <row r="27" ht="12.75">
      <c r="A27" s="51"/>
    </row>
    <row r="28" ht="12.75">
      <c r="A28" s="51"/>
    </row>
    <row r="29" ht="12.75">
      <c r="A29" s="51"/>
    </row>
    <row r="30" ht="12.75">
      <c r="A30" s="51"/>
    </row>
    <row r="31" ht="12.75">
      <c r="A31" s="51"/>
    </row>
    <row r="32" ht="12.75">
      <c r="A32" s="51"/>
    </row>
    <row r="33" ht="12.75">
      <c r="A33" s="51"/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</sheetData>
  <sheetProtection password="C8D1" sheet="1" scenarios="1" formatRows="0"/>
  <mergeCells count="16">
    <mergeCell ref="A3:A5"/>
    <mergeCell ref="B3:B5"/>
    <mergeCell ref="F3:G3"/>
    <mergeCell ref="A1:Q1"/>
    <mergeCell ref="A2:Q2"/>
    <mergeCell ref="P4:Q4"/>
    <mergeCell ref="J3:Q3"/>
    <mergeCell ref="J4:K4"/>
    <mergeCell ref="N4:O4"/>
    <mergeCell ref="R2:AI2"/>
    <mergeCell ref="C3:C5"/>
    <mergeCell ref="D3:E3"/>
    <mergeCell ref="D4:E4"/>
    <mergeCell ref="F4:G4"/>
    <mergeCell ref="H3:I4"/>
    <mergeCell ref="L4:M4"/>
  </mergeCells>
  <printOptions/>
  <pageMargins left="0" right="0" top="0.984251968503937" bottom="0.984251968503937" header="0" footer="0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_rph"/>
  <dimension ref="A1:AA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140625" style="27" customWidth="1"/>
    <col min="2" max="2" width="49.421875" style="27" customWidth="1"/>
    <col min="3" max="3" width="15.28125" style="27" customWidth="1"/>
    <col min="4" max="4" width="22.140625" style="27" customWidth="1"/>
    <col min="5" max="5" width="12.28125" style="27" customWidth="1"/>
    <col min="6" max="6" width="10.8515625" style="27" customWidth="1"/>
    <col min="7" max="7" width="11.421875" style="27" customWidth="1"/>
    <col min="8" max="8" width="10.7109375" style="27" customWidth="1"/>
    <col min="9" max="9" width="13.28125" style="27" customWidth="1"/>
    <col min="10" max="10" width="12.8515625" style="27" customWidth="1"/>
    <col min="11" max="11" width="13.140625" style="27" customWidth="1"/>
    <col min="12" max="12" width="14.00390625" style="27" customWidth="1"/>
    <col min="13" max="16384" width="9.140625" style="27" customWidth="1"/>
  </cols>
  <sheetData>
    <row r="1" spans="1:12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2" ht="14.25">
      <c r="A2" s="1069" t="s">
        <v>138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</row>
    <row r="3" spans="1:12" ht="13.5" thickBot="1">
      <c r="A3" s="1070" t="s">
        <v>109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</row>
    <row r="4" spans="1:12" ht="33.75" customHeight="1">
      <c r="A4" s="840" t="s">
        <v>5</v>
      </c>
      <c r="B4" s="817" t="s">
        <v>139</v>
      </c>
      <c r="C4" s="817" t="s">
        <v>141</v>
      </c>
      <c r="D4" s="817" t="s">
        <v>140</v>
      </c>
      <c r="E4" s="1064">
        <f>factYear</f>
        <v>2017</v>
      </c>
      <c r="F4" s="1064"/>
      <c r="G4" s="1064">
        <f>currYear</f>
        <v>2018</v>
      </c>
      <c r="H4" s="1064"/>
      <c r="I4" s="1063" t="str">
        <f>Заголовок!D17</f>
        <v>01.01.2019-30.06.2019</v>
      </c>
      <c r="J4" s="1064"/>
      <c r="K4" s="1063" t="str">
        <f>Заголовок!E17</f>
        <v>01.07.2019-31.12.2019</v>
      </c>
      <c r="L4" s="999"/>
    </row>
    <row r="5" spans="1:12" ht="38.25" customHeight="1">
      <c r="A5" s="983"/>
      <c r="B5" s="845"/>
      <c r="C5" s="845"/>
      <c r="D5" s="845"/>
      <c r="E5" s="40" t="s">
        <v>190</v>
      </c>
      <c r="F5" s="40" t="s">
        <v>191</v>
      </c>
      <c r="G5" s="40" t="s">
        <v>190</v>
      </c>
      <c r="H5" s="40" t="s">
        <v>192</v>
      </c>
      <c r="I5" s="40" t="s">
        <v>1</v>
      </c>
      <c r="J5" s="40" t="s">
        <v>2</v>
      </c>
      <c r="K5" s="40" t="s">
        <v>1</v>
      </c>
      <c r="L5" s="96" t="s">
        <v>2</v>
      </c>
    </row>
    <row r="6" spans="1:12" ht="73.5" customHeight="1">
      <c r="A6" s="199"/>
      <c r="B6" s="134" t="s">
        <v>576</v>
      </c>
      <c r="C6" s="28"/>
      <c r="D6" s="28"/>
      <c r="E6" s="553">
        <f aca="true" t="shared" si="0" ref="E6:L6">SUM(E7:E9)</f>
        <v>0</v>
      </c>
      <c r="F6" s="553">
        <f t="shared" si="0"/>
        <v>0</v>
      </c>
      <c r="G6" s="553">
        <f t="shared" si="0"/>
        <v>0</v>
      </c>
      <c r="H6" s="553">
        <f t="shared" si="0"/>
        <v>0</v>
      </c>
      <c r="I6" s="553">
        <f t="shared" si="0"/>
        <v>0</v>
      </c>
      <c r="J6" s="553">
        <f t="shared" si="0"/>
        <v>0</v>
      </c>
      <c r="K6" s="553">
        <f t="shared" si="0"/>
        <v>0</v>
      </c>
      <c r="L6" s="717">
        <f t="shared" si="0"/>
        <v>0</v>
      </c>
    </row>
    <row r="7" spans="1:12" s="16" customFormat="1" ht="12.75" hidden="1">
      <c r="A7" s="187"/>
      <c r="B7" s="188"/>
      <c r="C7" s="188"/>
      <c r="D7" s="188"/>
      <c r="E7" s="718"/>
      <c r="F7" s="718"/>
      <c r="G7" s="718"/>
      <c r="H7" s="718"/>
      <c r="I7" s="718"/>
      <c r="J7" s="718"/>
      <c r="K7" s="718"/>
      <c r="L7" s="719"/>
    </row>
    <row r="8" spans="1:12" ht="24.75" customHeight="1">
      <c r="A8" s="149"/>
      <c r="B8" s="142"/>
      <c r="C8" s="142"/>
      <c r="D8" s="142"/>
      <c r="E8" s="378"/>
      <c r="F8" s="378"/>
      <c r="G8" s="378"/>
      <c r="H8" s="378"/>
      <c r="I8" s="378"/>
      <c r="J8" s="378"/>
      <c r="K8" s="378"/>
      <c r="L8" s="381"/>
    </row>
    <row r="9" spans="1:27" s="68" customFormat="1" ht="13.5" thickBot="1">
      <c r="A9" s="1066" t="s">
        <v>335</v>
      </c>
      <c r="B9" s="1067"/>
      <c r="C9" s="1067"/>
      <c r="D9" s="1067"/>
      <c r="E9" s="1067"/>
      <c r="F9" s="1067"/>
      <c r="G9" s="1067"/>
      <c r="H9" s="1067"/>
      <c r="I9" s="1067"/>
      <c r="J9" s="1067"/>
      <c r="K9" s="1067"/>
      <c r="L9" s="1068"/>
      <c r="M9" s="16"/>
      <c r="S9" s="16"/>
      <c r="T9" s="16"/>
      <c r="U9" s="16"/>
      <c r="V9" s="16"/>
      <c r="W9" s="16"/>
      <c r="X9" s="16"/>
      <c r="Y9" s="67"/>
      <c r="Z9" s="67"/>
      <c r="AA9" s="67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4" s="81" customFormat="1" ht="13.5" customHeight="1" thickBot="1">
      <c r="A12" s="1065" t="s">
        <v>428</v>
      </c>
      <c r="B12" s="1065"/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27"/>
      <c r="N12" s="27"/>
    </row>
    <row r="13" spans="1:11" s="81" customFormat="1" ht="12.75" customHeight="1">
      <c r="A13" s="980" t="s">
        <v>429</v>
      </c>
      <c r="B13" s="980"/>
      <c r="C13" s="980"/>
      <c r="D13" s="980"/>
      <c r="E13" s="980"/>
      <c r="F13" s="980"/>
      <c r="G13" s="980"/>
      <c r="H13" s="980"/>
      <c r="I13" s="980"/>
      <c r="J13" s="980"/>
      <c r="K13" s="980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8D1" sheet="1" scenarios="1" formatRows="0"/>
  <mergeCells count="14">
    <mergeCell ref="A1:L1"/>
    <mergeCell ref="A13:K13"/>
    <mergeCell ref="A12:L12"/>
    <mergeCell ref="A9:L9"/>
    <mergeCell ref="A2:L2"/>
    <mergeCell ref="A3:L3"/>
    <mergeCell ref="I4:J4"/>
    <mergeCell ref="K4:L4"/>
    <mergeCell ref="A4:A5"/>
    <mergeCell ref="B4:B5"/>
    <mergeCell ref="C4:C5"/>
    <mergeCell ref="D4:D5"/>
    <mergeCell ref="E4:F4"/>
    <mergeCell ref="G4:H4"/>
  </mergeCells>
  <hyperlinks>
    <hyperlink ref="A9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5"/>
  <dimension ref="A1:N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57421875" style="32" customWidth="1"/>
    <col min="2" max="2" width="33.140625" style="32" customWidth="1"/>
    <col min="3" max="3" width="12.7109375" style="32" customWidth="1"/>
    <col min="4" max="4" width="11.7109375" style="32" customWidth="1"/>
    <col min="5" max="6" width="12.140625" style="32" customWidth="1"/>
    <col min="7" max="8" width="12.8515625" style="32" customWidth="1"/>
    <col min="9" max="9" width="13.00390625" style="32" customWidth="1"/>
    <col min="10" max="10" width="12.8515625" style="32" customWidth="1"/>
    <col min="11" max="16384" width="9.140625" style="32" customWidth="1"/>
  </cols>
  <sheetData>
    <row r="1" spans="1:10" ht="12.75">
      <c r="A1" s="846" t="str">
        <f>org</f>
        <v>Муниципальное предприятие по эксплуатации систем водоснабжения и водоотведения "Водоканал" г.Великие Луки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2.75">
      <c r="A2" s="846"/>
      <c r="B2" s="846"/>
      <c r="C2" s="846"/>
      <c r="D2" s="846"/>
      <c r="E2" s="846"/>
      <c r="F2" s="846"/>
      <c r="G2" s="846"/>
      <c r="H2" s="846"/>
      <c r="I2" s="846"/>
      <c r="J2" s="728" t="s">
        <v>109</v>
      </c>
    </row>
    <row r="3" spans="1:10" ht="15.75" thickBot="1">
      <c r="A3" s="1074" t="s">
        <v>284</v>
      </c>
      <c r="B3" s="1074"/>
      <c r="C3" s="1074"/>
      <c r="D3" s="1074"/>
      <c r="E3" s="1074"/>
      <c r="F3" s="1074"/>
      <c r="G3" s="1074"/>
      <c r="H3" s="1074"/>
      <c r="I3" s="1074"/>
      <c r="J3" s="1074"/>
    </row>
    <row r="4" spans="1:10" ht="28.5" customHeight="1">
      <c r="A4" s="1075" t="s">
        <v>5</v>
      </c>
      <c r="B4" s="818" t="s">
        <v>124</v>
      </c>
      <c r="C4" s="998">
        <f>factYear</f>
        <v>2017</v>
      </c>
      <c r="D4" s="999"/>
      <c r="E4" s="992">
        <f>currYear</f>
        <v>2018</v>
      </c>
      <c r="F4" s="1064"/>
      <c r="G4" s="1071" t="str">
        <f>Заголовок!D17</f>
        <v>01.01.2019-30.06.2019</v>
      </c>
      <c r="H4" s="999"/>
      <c r="I4" s="1072" t="str">
        <f>Заголовок!E17</f>
        <v>01.07.2019-31.12.2019</v>
      </c>
      <c r="J4" s="1073"/>
    </row>
    <row r="5" spans="1:10" ht="26.25" thickBot="1">
      <c r="A5" s="1076"/>
      <c r="B5" s="842"/>
      <c r="C5" s="244" t="s">
        <v>190</v>
      </c>
      <c r="D5" s="166" t="s">
        <v>191</v>
      </c>
      <c r="E5" s="245" t="s">
        <v>190</v>
      </c>
      <c r="F5" s="304" t="s">
        <v>192</v>
      </c>
      <c r="G5" s="244" t="s">
        <v>1</v>
      </c>
      <c r="H5" s="166" t="s">
        <v>2</v>
      </c>
      <c r="I5" s="245" t="s">
        <v>1</v>
      </c>
      <c r="J5" s="166" t="s">
        <v>2</v>
      </c>
    </row>
    <row r="6" spans="1:10" s="27" customFormat="1" ht="21.75" customHeight="1">
      <c r="A6" s="475"/>
      <c r="B6" s="477" t="s">
        <v>125</v>
      </c>
      <c r="C6" s="720">
        <f aca="true" t="shared" si="0" ref="C6:J6">C7+C8</f>
        <v>0</v>
      </c>
      <c r="D6" s="721">
        <f t="shared" si="0"/>
        <v>0</v>
      </c>
      <c r="E6" s="722">
        <f t="shared" si="0"/>
        <v>0</v>
      </c>
      <c r="F6" s="723">
        <f t="shared" si="0"/>
        <v>0</v>
      </c>
      <c r="G6" s="720">
        <f t="shared" si="0"/>
        <v>0</v>
      </c>
      <c r="H6" s="721">
        <f t="shared" si="0"/>
        <v>0</v>
      </c>
      <c r="I6" s="722">
        <f t="shared" si="0"/>
        <v>0</v>
      </c>
      <c r="J6" s="721">
        <f t="shared" si="0"/>
        <v>0</v>
      </c>
    </row>
    <row r="7" spans="1:10" s="27" customFormat="1" ht="66" customHeight="1">
      <c r="A7" s="453">
        <v>1</v>
      </c>
      <c r="B7" s="83" t="s">
        <v>364</v>
      </c>
      <c r="C7" s="377"/>
      <c r="D7" s="381"/>
      <c r="E7" s="503"/>
      <c r="F7" s="504"/>
      <c r="G7" s="377"/>
      <c r="H7" s="381"/>
      <c r="I7" s="503"/>
      <c r="J7" s="381"/>
    </row>
    <row r="8" spans="1:10" s="27" customFormat="1" ht="30" customHeight="1">
      <c r="A8" s="453" t="s">
        <v>110</v>
      </c>
      <c r="B8" s="83" t="s">
        <v>240</v>
      </c>
      <c r="C8" s="505">
        <f aca="true" t="shared" si="1" ref="C8:J8">C9+C10+C11</f>
        <v>0</v>
      </c>
      <c r="D8" s="506">
        <f t="shared" si="1"/>
        <v>0</v>
      </c>
      <c r="E8" s="507">
        <f t="shared" si="1"/>
        <v>0</v>
      </c>
      <c r="F8" s="508">
        <f t="shared" si="1"/>
        <v>0</v>
      </c>
      <c r="G8" s="505">
        <f t="shared" si="1"/>
        <v>0</v>
      </c>
      <c r="H8" s="506">
        <f t="shared" si="1"/>
        <v>0</v>
      </c>
      <c r="I8" s="507">
        <f t="shared" si="1"/>
        <v>0</v>
      </c>
      <c r="J8" s="506">
        <f t="shared" si="1"/>
        <v>0</v>
      </c>
    </row>
    <row r="9" spans="1:10" s="27" customFormat="1" ht="27.75" customHeight="1">
      <c r="A9" s="453" t="s">
        <v>76</v>
      </c>
      <c r="B9" s="83" t="s">
        <v>241</v>
      </c>
      <c r="C9" s="377"/>
      <c r="D9" s="381"/>
      <c r="E9" s="503"/>
      <c r="F9" s="504"/>
      <c r="G9" s="377"/>
      <c r="H9" s="381"/>
      <c r="I9" s="503"/>
      <c r="J9" s="381"/>
    </row>
    <row r="10" spans="1:10" s="27" customFormat="1" ht="30" customHeight="1">
      <c r="A10" s="453" t="s">
        <v>77</v>
      </c>
      <c r="B10" s="83" t="s">
        <v>242</v>
      </c>
      <c r="C10" s="377"/>
      <c r="D10" s="381"/>
      <c r="E10" s="503"/>
      <c r="F10" s="504"/>
      <c r="G10" s="377"/>
      <c r="H10" s="381"/>
      <c r="I10" s="503"/>
      <c r="J10" s="381"/>
    </row>
    <row r="11" spans="1:10" s="27" customFormat="1" ht="30" customHeight="1" thickBot="1">
      <c r="A11" s="458" t="s">
        <v>113</v>
      </c>
      <c r="B11" s="84" t="s">
        <v>243</v>
      </c>
      <c r="C11" s="724"/>
      <c r="D11" s="725"/>
      <c r="E11" s="726"/>
      <c r="F11" s="727"/>
      <c r="G11" s="724"/>
      <c r="H11" s="725"/>
      <c r="I11" s="726"/>
      <c r="J11" s="725"/>
    </row>
    <row r="12" spans="1:10" ht="12.75">
      <c r="A12" s="58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>
      <c r="A13" s="58"/>
      <c r="B13" s="59"/>
      <c r="C13" s="46"/>
      <c r="D13" s="46"/>
      <c r="E13" s="46"/>
      <c r="F13" s="46"/>
      <c r="G13" s="46"/>
      <c r="H13" s="46"/>
      <c r="I13" s="46"/>
      <c r="J13" s="46"/>
    </row>
    <row r="15" spans="1:14" s="14" customFormat="1" ht="13.5" customHeight="1">
      <c r="A15" s="930" t="s">
        <v>428</v>
      </c>
      <c r="B15" s="930"/>
      <c r="C15" s="930"/>
      <c r="D15" s="930"/>
      <c r="E15" s="930"/>
      <c r="F15" s="930"/>
      <c r="G15" s="930"/>
      <c r="H15" s="930"/>
      <c r="I15" s="930"/>
      <c r="J15" s="930"/>
      <c r="K15" s="32"/>
      <c r="L15" s="32"/>
      <c r="M15" s="32"/>
      <c r="N15" s="32"/>
    </row>
    <row r="16" spans="1:11" s="14" customFormat="1" ht="12.75" customHeight="1">
      <c r="A16" s="929" t="s">
        <v>429</v>
      </c>
      <c r="B16" s="929"/>
      <c r="C16" s="929"/>
      <c r="D16" s="929"/>
      <c r="E16" s="929"/>
      <c r="F16" s="929"/>
      <c r="G16" s="929"/>
      <c r="H16" s="929"/>
      <c r="I16" s="929"/>
      <c r="J16" s="929"/>
      <c r="K16" s="15"/>
    </row>
  </sheetData>
  <sheetProtection password="C8D1" sheet="1" scenarios="1" formatRows="0"/>
  <mergeCells count="11">
    <mergeCell ref="A16:J16"/>
    <mergeCell ref="I4:J4"/>
    <mergeCell ref="A3:J3"/>
    <mergeCell ref="A4:A5"/>
    <mergeCell ref="B4:B5"/>
    <mergeCell ref="C4:D4"/>
    <mergeCell ref="E4:F4"/>
    <mergeCell ref="A1:J1"/>
    <mergeCell ref="G4:H4"/>
    <mergeCell ref="A2:I2"/>
    <mergeCell ref="A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7"/>
  <dimension ref="A1:N7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72" sqref="H72"/>
    </sheetView>
  </sheetViews>
  <sheetFormatPr defaultColWidth="9.140625" defaultRowHeight="12.75"/>
  <cols>
    <col min="1" max="1" width="7.140625" style="27" customWidth="1"/>
    <col min="2" max="2" width="32.140625" style="27" customWidth="1"/>
    <col min="3" max="3" width="10.28125" style="27" customWidth="1"/>
    <col min="4" max="5" width="11.7109375" style="27" customWidth="1"/>
    <col min="6" max="6" width="10.7109375" style="27" customWidth="1"/>
    <col min="7" max="7" width="11.7109375" style="27" customWidth="1"/>
    <col min="8" max="8" width="13.421875" style="27" customWidth="1"/>
    <col min="9" max="10" width="14.00390625" style="27" customWidth="1"/>
    <col min="11" max="11" width="12.7109375" style="27" customWidth="1"/>
    <col min="12" max="16384" width="9.140625" style="27" customWidth="1"/>
  </cols>
  <sheetData>
    <row r="1" spans="1:11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11" ht="44.25" customHeight="1" thickBot="1">
      <c r="A2" s="1078" t="s">
        <v>142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</row>
    <row r="3" spans="1:11" ht="24.75" customHeight="1">
      <c r="A3" s="840" t="s">
        <v>5</v>
      </c>
      <c r="B3" s="817" t="s">
        <v>47</v>
      </c>
      <c r="C3" s="1025" t="s">
        <v>7</v>
      </c>
      <c r="D3" s="998">
        <f>factYear</f>
        <v>2017</v>
      </c>
      <c r="E3" s="999"/>
      <c r="F3" s="992">
        <f>currYear</f>
        <v>2018</v>
      </c>
      <c r="G3" s="1032"/>
      <c r="H3" s="1071" t="str">
        <f>Заголовок!D17</f>
        <v>01.01.2019-30.06.2019</v>
      </c>
      <c r="I3" s="999"/>
      <c r="J3" s="1079" t="str">
        <f>Заголовок!E17</f>
        <v>01.07.2019-31.12.2019</v>
      </c>
      <c r="K3" s="999"/>
    </row>
    <row r="4" spans="1:11" ht="30" customHeight="1" thickBot="1">
      <c r="A4" s="841"/>
      <c r="B4" s="843"/>
      <c r="C4" s="1027"/>
      <c r="D4" s="244" t="s">
        <v>190</v>
      </c>
      <c r="E4" s="166" t="s">
        <v>191</v>
      </c>
      <c r="F4" s="245" t="s">
        <v>190</v>
      </c>
      <c r="G4" s="304" t="s">
        <v>192</v>
      </c>
      <c r="H4" s="244" t="s">
        <v>1</v>
      </c>
      <c r="I4" s="166" t="s">
        <v>2</v>
      </c>
      <c r="J4" s="245" t="s">
        <v>1</v>
      </c>
      <c r="K4" s="166" t="s">
        <v>2</v>
      </c>
    </row>
    <row r="5" spans="1:11" ht="30">
      <c r="A5" s="497" t="s">
        <v>50</v>
      </c>
      <c r="B5" s="498" t="s">
        <v>143</v>
      </c>
      <c r="C5" s="462"/>
      <c r="D5" s="499"/>
      <c r="E5" s="500"/>
      <c r="F5" s="501"/>
      <c r="G5" s="462"/>
      <c r="H5" s="499"/>
      <c r="I5" s="500"/>
      <c r="J5" s="501"/>
      <c r="K5" s="502"/>
    </row>
    <row r="6" spans="1:11" ht="12.75">
      <c r="A6" s="485" t="s">
        <v>204</v>
      </c>
      <c r="B6" s="152" t="s">
        <v>144</v>
      </c>
      <c r="C6" s="482" t="s">
        <v>145</v>
      </c>
      <c r="D6" s="729"/>
      <c r="E6" s="730"/>
      <c r="F6" s="731"/>
      <c r="G6" s="732"/>
      <c r="H6" s="729"/>
      <c r="I6" s="730"/>
      <c r="J6" s="731"/>
      <c r="K6" s="730"/>
    </row>
    <row r="7" spans="1:11" ht="12.75">
      <c r="A7" s="485"/>
      <c r="B7" s="152" t="s">
        <v>146</v>
      </c>
      <c r="C7" s="482" t="s">
        <v>145</v>
      </c>
      <c r="D7" s="729"/>
      <c r="E7" s="730"/>
      <c r="F7" s="731"/>
      <c r="G7" s="732"/>
      <c r="H7" s="729"/>
      <c r="I7" s="730"/>
      <c r="J7" s="731"/>
      <c r="K7" s="730"/>
    </row>
    <row r="8" spans="1:11" ht="25.5">
      <c r="A8" s="485"/>
      <c r="B8" s="152" t="s">
        <v>147</v>
      </c>
      <c r="C8" s="482" t="s">
        <v>145</v>
      </c>
      <c r="D8" s="729">
        <v>1.25</v>
      </c>
      <c r="E8" s="730">
        <v>0.08</v>
      </c>
      <c r="F8" s="731">
        <v>1.25</v>
      </c>
      <c r="G8" s="732">
        <v>0.2</v>
      </c>
      <c r="H8" s="729">
        <v>0.1</v>
      </c>
      <c r="I8" s="730"/>
      <c r="J8" s="731">
        <v>0.2</v>
      </c>
      <c r="K8" s="730"/>
    </row>
    <row r="9" spans="1:11" ht="12.75">
      <c r="A9" s="486" t="s">
        <v>110</v>
      </c>
      <c r="B9" s="209" t="s">
        <v>148</v>
      </c>
      <c r="C9" s="479" t="s">
        <v>205</v>
      </c>
      <c r="D9" s="505">
        <f>D14+D16+D19+D22</f>
        <v>12613.42</v>
      </c>
      <c r="E9" s="506">
        <f aca="true" t="shared" si="0" ref="E9:K9">E14+E16+E19+E22</f>
        <v>14270.83</v>
      </c>
      <c r="F9" s="507">
        <f t="shared" si="0"/>
        <v>12740</v>
      </c>
      <c r="G9" s="508">
        <f t="shared" si="0"/>
        <v>22970</v>
      </c>
      <c r="H9" s="505">
        <f t="shared" si="0"/>
        <v>22970</v>
      </c>
      <c r="I9" s="506">
        <f t="shared" si="0"/>
        <v>0</v>
      </c>
      <c r="J9" s="507">
        <f t="shared" si="0"/>
        <v>23886.86</v>
      </c>
      <c r="K9" s="506">
        <f t="shared" si="0"/>
        <v>0</v>
      </c>
    </row>
    <row r="10" spans="1:11" ht="25.5">
      <c r="A10" s="485" t="s">
        <v>76</v>
      </c>
      <c r="B10" s="152" t="s">
        <v>195</v>
      </c>
      <c r="C10" s="482" t="s">
        <v>205</v>
      </c>
      <c r="D10" s="377">
        <v>6610</v>
      </c>
      <c r="E10" s="381">
        <v>6610</v>
      </c>
      <c r="F10" s="503">
        <v>6873.74</v>
      </c>
      <c r="G10" s="504">
        <v>7270.34</v>
      </c>
      <c r="H10" s="377">
        <v>7148</v>
      </c>
      <c r="I10" s="381"/>
      <c r="J10" s="503">
        <v>8549.52</v>
      </c>
      <c r="K10" s="381"/>
    </row>
    <row r="11" spans="1:11" ht="25.5">
      <c r="A11" s="485" t="s">
        <v>77</v>
      </c>
      <c r="B11" s="152" t="s">
        <v>196</v>
      </c>
      <c r="C11" s="482" t="s">
        <v>206</v>
      </c>
      <c r="D11" s="377">
        <v>103.99</v>
      </c>
      <c r="E11" s="381">
        <v>109.99</v>
      </c>
      <c r="F11" s="503">
        <v>103.99</v>
      </c>
      <c r="G11" s="504">
        <v>108</v>
      </c>
      <c r="H11" s="377">
        <v>100</v>
      </c>
      <c r="I11" s="381"/>
      <c r="J11" s="503">
        <v>104</v>
      </c>
      <c r="K11" s="381"/>
    </row>
    <row r="12" spans="1:11" ht="25.5">
      <c r="A12" s="478" t="s">
        <v>113</v>
      </c>
      <c r="B12" s="57" t="s">
        <v>197</v>
      </c>
      <c r="C12" s="479" t="s">
        <v>205</v>
      </c>
      <c r="D12" s="505">
        <f>(D10*D11)/100</f>
        <v>6873.74</v>
      </c>
      <c r="E12" s="506">
        <f aca="true" t="shared" si="1" ref="E12:K12">(E10*E11)/100</f>
        <v>7270.34</v>
      </c>
      <c r="F12" s="507">
        <f t="shared" si="1"/>
        <v>7148</v>
      </c>
      <c r="G12" s="508">
        <f t="shared" si="1"/>
        <v>7851.97</v>
      </c>
      <c r="H12" s="505">
        <f t="shared" si="1"/>
        <v>7148</v>
      </c>
      <c r="I12" s="506">
        <f t="shared" si="1"/>
        <v>0</v>
      </c>
      <c r="J12" s="507">
        <f t="shared" si="1"/>
        <v>8891.5</v>
      </c>
      <c r="K12" s="506">
        <f t="shared" si="1"/>
        <v>0</v>
      </c>
    </row>
    <row r="13" spans="1:11" ht="12.75">
      <c r="A13" s="487" t="s">
        <v>116</v>
      </c>
      <c r="B13" s="152" t="s">
        <v>478</v>
      </c>
      <c r="C13" s="482"/>
      <c r="D13" s="377">
        <v>1.3</v>
      </c>
      <c r="E13" s="381">
        <v>1.3</v>
      </c>
      <c r="F13" s="503">
        <v>1.3</v>
      </c>
      <c r="G13" s="504">
        <v>1.3</v>
      </c>
      <c r="H13" s="377">
        <v>1.3</v>
      </c>
      <c r="I13" s="381"/>
      <c r="J13" s="503">
        <v>1.3</v>
      </c>
      <c r="K13" s="381"/>
    </row>
    <row r="14" spans="1:11" ht="12.75">
      <c r="A14" s="488" t="s">
        <v>118</v>
      </c>
      <c r="B14" s="57" t="s">
        <v>479</v>
      </c>
      <c r="C14" s="479" t="s">
        <v>205</v>
      </c>
      <c r="D14" s="505">
        <f>D13*D12</f>
        <v>8935.86</v>
      </c>
      <c r="E14" s="506">
        <f aca="true" t="shared" si="2" ref="E14:K14">E13*E12</f>
        <v>9451.44</v>
      </c>
      <c r="F14" s="507">
        <f t="shared" si="2"/>
        <v>9292.4</v>
      </c>
      <c r="G14" s="508">
        <f t="shared" si="2"/>
        <v>10207.56</v>
      </c>
      <c r="H14" s="505">
        <f t="shared" si="2"/>
        <v>9292.4</v>
      </c>
      <c r="I14" s="506">
        <f t="shared" si="2"/>
        <v>0</v>
      </c>
      <c r="J14" s="507">
        <f t="shared" si="2"/>
        <v>11558.95</v>
      </c>
      <c r="K14" s="506">
        <f t="shared" si="2"/>
        <v>0</v>
      </c>
    </row>
    <row r="15" spans="1:11" ht="38.25">
      <c r="A15" s="489" t="s">
        <v>151</v>
      </c>
      <c r="B15" s="152" t="s">
        <v>287</v>
      </c>
      <c r="C15" s="482" t="s">
        <v>205</v>
      </c>
      <c r="D15" s="377"/>
      <c r="E15" s="381"/>
      <c r="F15" s="503"/>
      <c r="G15" s="504"/>
      <c r="H15" s="377"/>
      <c r="I15" s="381"/>
      <c r="J15" s="503"/>
      <c r="K15" s="381"/>
    </row>
    <row r="16" spans="1:11" ht="38.25">
      <c r="A16" s="488" t="s">
        <v>152</v>
      </c>
      <c r="B16" s="57" t="s">
        <v>198</v>
      </c>
      <c r="C16" s="479" t="s">
        <v>205</v>
      </c>
      <c r="D16" s="505">
        <f>(D17*D18)/100</f>
        <v>586.52</v>
      </c>
      <c r="E16" s="506">
        <f aca="true" t="shared" si="3" ref="E16:K16">(E17*E18)/100</f>
        <v>1628.3</v>
      </c>
      <c r="F16" s="507">
        <f t="shared" si="3"/>
        <v>593.68</v>
      </c>
      <c r="G16" s="508">
        <f t="shared" si="3"/>
        <v>5191.22</v>
      </c>
      <c r="H16" s="505">
        <f t="shared" si="3"/>
        <v>5168.25</v>
      </c>
      <c r="I16" s="506">
        <f t="shared" si="3"/>
        <v>0</v>
      </c>
      <c r="J16" s="507">
        <f t="shared" si="3"/>
        <v>5399.43</v>
      </c>
      <c r="K16" s="506">
        <f t="shared" si="3"/>
        <v>0</v>
      </c>
    </row>
    <row r="17" spans="1:11" ht="12.75">
      <c r="A17" s="487" t="s">
        <v>153</v>
      </c>
      <c r="B17" s="152" t="s">
        <v>199</v>
      </c>
      <c r="C17" s="482" t="s">
        <v>206</v>
      </c>
      <c r="D17" s="377">
        <v>4.65</v>
      </c>
      <c r="E17" s="381">
        <v>11.41</v>
      </c>
      <c r="F17" s="503">
        <v>4.66</v>
      </c>
      <c r="G17" s="504">
        <v>22.6</v>
      </c>
      <c r="H17" s="377">
        <v>22.5</v>
      </c>
      <c r="I17" s="381"/>
      <c r="J17" s="503">
        <v>22.6</v>
      </c>
      <c r="K17" s="381"/>
    </row>
    <row r="18" spans="1:11" ht="12.75">
      <c r="A18" s="487" t="s">
        <v>154</v>
      </c>
      <c r="B18" s="152" t="s">
        <v>200</v>
      </c>
      <c r="C18" s="482" t="s">
        <v>205</v>
      </c>
      <c r="D18" s="377">
        <v>12613.42</v>
      </c>
      <c r="E18" s="381">
        <v>14270.83</v>
      </c>
      <c r="F18" s="503">
        <v>12740</v>
      </c>
      <c r="G18" s="504">
        <v>22970</v>
      </c>
      <c r="H18" s="377">
        <v>22970</v>
      </c>
      <c r="I18" s="381"/>
      <c r="J18" s="503">
        <v>23891.3</v>
      </c>
      <c r="K18" s="381"/>
    </row>
    <row r="19" spans="1:11" ht="12.75">
      <c r="A19" s="490" t="s">
        <v>210</v>
      </c>
      <c r="B19" s="209" t="s">
        <v>201</v>
      </c>
      <c r="C19" s="479" t="s">
        <v>205</v>
      </c>
      <c r="D19" s="505">
        <f>(D20*D21)/100</f>
        <v>3090.29</v>
      </c>
      <c r="E19" s="506">
        <f aca="true" t="shared" si="4" ref="E19:K19">(E20*E21)/100</f>
        <v>3189.53</v>
      </c>
      <c r="F19" s="507">
        <f t="shared" si="4"/>
        <v>2853.76</v>
      </c>
      <c r="G19" s="508">
        <f t="shared" si="4"/>
        <v>7557.13</v>
      </c>
      <c r="H19" s="505">
        <f t="shared" si="4"/>
        <v>8498.9</v>
      </c>
      <c r="I19" s="506">
        <f t="shared" si="4"/>
        <v>0</v>
      </c>
      <c r="J19" s="507">
        <f t="shared" si="4"/>
        <v>6928.48</v>
      </c>
      <c r="K19" s="506">
        <f t="shared" si="4"/>
        <v>0</v>
      </c>
    </row>
    <row r="20" spans="1:11" ht="12.75">
      <c r="A20" s="487" t="s">
        <v>480</v>
      </c>
      <c r="B20" s="152" t="s">
        <v>202</v>
      </c>
      <c r="C20" s="482" t="s">
        <v>206</v>
      </c>
      <c r="D20" s="377">
        <v>24.5</v>
      </c>
      <c r="E20" s="381">
        <v>22.35</v>
      </c>
      <c r="F20" s="503">
        <v>22.4</v>
      </c>
      <c r="G20" s="504">
        <v>32.9</v>
      </c>
      <c r="H20" s="377">
        <v>37</v>
      </c>
      <c r="I20" s="381"/>
      <c r="J20" s="503">
        <v>29</v>
      </c>
      <c r="K20" s="381"/>
    </row>
    <row r="21" spans="1:11" ht="12.75">
      <c r="A21" s="487" t="s">
        <v>481</v>
      </c>
      <c r="B21" s="152" t="s">
        <v>203</v>
      </c>
      <c r="C21" s="482" t="s">
        <v>205</v>
      </c>
      <c r="D21" s="377">
        <v>12613.42</v>
      </c>
      <c r="E21" s="381">
        <v>14270.83</v>
      </c>
      <c r="F21" s="503">
        <v>12740</v>
      </c>
      <c r="G21" s="504">
        <v>22970</v>
      </c>
      <c r="H21" s="377">
        <v>22970</v>
      </c>
      <c r="I21" s="381"/>
      <c r="J21" s="503">
        <v>23891.3</v>
      </c>
      <c r="K21" s="381"/>
    </row>
    <row r="22" spans="1:11" ht="51">
      <c r="A22" s="490" t="s">
        <v>211</v>
      </c>
      <c r="B22" s="209" t="s">
        <v>207</v>
      </c>
      <c r="C22" s="479" t="s">
        <v>205</v>
      </c>
      <c r="D22" s="505">
        <f>(D23*D24)/100+D25</f>
        <v>0.75</v>
      </c>
      <c r="E22" s="506">
        <f aca="true" t="shared" si="5" ref="E22:K22">(E23*E24)/100+E25</f>
        <v>1.56</v>
      </c>
      <c r="F22" s="507">
        <f t="shared" si="5"/>
        <v>0.16</v>
      </c>
      <c r="G22" s="508">
        <f t="shared" si="5"/>
        <v>14.09</v>
      </c>
      <c r="H22" s="505">
        <f t="shared" si="5"/>
        <v>10.45</v>
      </c>
      <c r="I22" s="506">
        <f t="shared" si="5"/>
        <v>0</v>
      </c>
      <c r="J22" s="507">
        <f t="shared" si="5"/>
        <v>0</v>
      </c>
      <c r="K22" s="506">
        <f t="shared" si="5"/>
        <v>0</v>
      </c>
    </row>
    <row r="23" spans="1:11" ht="12.75">
      <c r="A23" s="487" t="s">
        <v>482</v>
      </c>
      <c r="B23" s="152" t="s">
        <v>202</v>
      </c>
      <c r="C23" s="482" t="s">
        <v>206</v>
      </c>
      <c r="D23" s="377"/>
      <c r="E23" s="381"/>
      <c r="F23" s="503"/>
      <c r="G23" s="504"/>
      <c r="H23" s="377"/>
      <c r="I23" s="381"/>
      <c r="J23" s="503"/>
      <c r="K23" s="381"/>
    </row>
    <row r="24" spans="1:11" ht="12.75">
      <c r="A24" s="487" t="s">
        <v>483</v>
      </c>
      <c r="B24" s="152" t="s">
        <v>203</v>
      </c>
      <c r="C24" s="482" t="s">
        <v>205</v>
      </c>
      <c r="D24" s="377"/>
      <c r="E24" s="381"/>
      <c r="F24" s="503"/>
      <c r="G24" s="504"/>
      <c r="H24" s="377"/>
      <c r="I24" s="381"/>
      <c r="J24" s="503"/>
      <c r="K24" s="381"/>
    </row>
    <row r="25" spans="1:11" ht="12.75">
      <c r="A25" s="487" t="s">
        <v>484</v>
      </c>
      <c r="B25" s="152" t="s">
        <v>149</v>
      </c>
      <c r="C25" s="482" t="s">
        <v>205</v>
      </c>
      <c r="D25" s="377">
        <v>0.75</v>
      </c>
      <c r="E25" s="381">
        <v>1.56</v>
      </c>
      <c r="F25" s="503">
        <v>0.16</v>
      </c>
      <c r="G25" s="504">
        <v>14.09</v>
      </c>
      <c r="H25" s="377">
        <v>10.45</v>
      </c>
      <c r="I25" s="381"/>
      <c r="J25" s="503"/>
      <c r="K25" s="381"/>
    </row>
    <row r="26" spans="1:11" ht="38.25">
      <c r="A26" s="490" t="s">
        <v>485</v>
      </c>
      <c r="B26" s="209" t="s">
        <v>150</v>
      </c>
      <c r="C26" s="479" t="s">
        <v>109</v>
      </c>
      <c r="D26" s="505">
        <f>D8*D9*12/1000</f>
        <v>189.2</v>
      </c>
      <c r="E26" s="506">
        <f aca="true" t="shared" si="6" ref="E26:K26">E8*E9*12/1000</f>
        <v>13.7</v>
      </c>
      <c r="F26" s="507">
        <f t="shared" si="6"/>
        <v>191.1</v>
      </c>
      <c r="G26" s="508">
        <f t="shared" si="6"/>
        <v>55.13</v>
      </c>
      <c r="H26" s="505">
        <f t="shared" si="6"/>
        <v>27.56</v>
      </c>
      <c r="I26" s="506">
        <f t="shared" si="6"/>
        <v>0</v>
      </c>
      <c r="J26" s="507">
        <f t="shared" si="6"/>
        <v>57.33</v>
      </c>
      <c r="K26" s="506">
        <f t="shared" si="6"/>
        <v>0</v>
      </c>
    </row>
    <row r="27" spans="1:11" ht="51">
      <c r="A27" s="490" t="s">
        <v>486</v>
      </c>
      <c r="B27" s="209" t="s">
        <v>250</v>
      </c>
      <c r="C27" s="479" t="s">
        <v>109</v>
      </c>
      <c r="D27" s="505">
        <f>D26*'доп. инф.'!C6/100</f>
        <v>57.14</v>
      </c>
      <c r="E27" s="506">
        <f>E26*'доп. инф.'!C6/100</f>
        <v>4.14</v>
      </c>
      <c r="F27" s="507">
        <f>F26*'доп. инф.'!D6/100</f>
        <v>57.71</v>
      </c>
      <c r="G27" s="508">
        <f>G26*'доп. инф.'!D6/100</f>
        <v>16.65</v>
      </c>
      <c r="H27" s="505">
        <f>H26*'доп. инф.'!E6/100</f>
        <v>8.32</v>
      </c>
      <c r="I27" s="506">
        <f>I26*'доп. инф.'!E6/100</f>
        <v>0</v>
      </c>
      <c r="J27" s="507">
        <f>J26*'доп. инф.'!E6/100</f>
        <v>17.31</v>
      </c>
      <c r="K27" s="506">
        <f>K26*'доп. инф.'!E6/100</f>
        <v>0</v>
      </c>
    </row>
    <row r="28" spans="1:11" ht="45">
      <c r="A28" s="491" t="s">
        <v>110</v>
      </c>
      <c r="B28" s="208" t="s">
        <v>411</v>
      </c>
      <c r="C28" s="463"/>
      <c r="D28" s="509"/>
      <c r="E28" s="510"/>
      <c r="F28" s="511"/>
      <c r="G28" s="512"/>
      <c r="H28" s="509"/>
      <c r="I28" s="510"/>
      <c r="J28" s="511"/>
      <c r="K28" s="510"/>
    </row>
    <row r="29" spans="1:11" ht="12.75">
      <c r="A29" s="485" t="s">
        <v>204</v>
      </c>
      <c r="B29" s="152" t="s">
        <v>144</v>
      </c>
      <c r="C29" s="482" t="s">
        <v>145</v>
      </c>
      <c r="D29" s="729"/>
      <c r="E29" s="730"/>
      <c r="F29" s="731"/>
      <c r="G29" s="732"/>
      <c r="H29" s="729"/>
      <c r="I29" s="730"/>
      <c r="J29" s="731"/>
      <c r="K29" s="730"/>
    </row>
    <row r="30" spans="1:11" ht="12.75">
      <c r="A30" s="485"/>
      <c r="B30" s="152" t="s">
        <v>146</v>
      </c>
      <c r="C30" s="482" t="s">
        <v>145</v>
      </c>
      <c r="D30" s="729"/>
      <c r="E30" s="730"/>
      <c r="F30" s="731"/>
      <c r="G30" s="732"/>
      <c r="H30" s="729"/>
      <c r="I30" s="730"/>
      <c r="J30" s="731"/>
      <c r="K30" s="730"/>
    </row>
    <row r="31" spans="1:11" ht="25.5">
      <c r="A31" s="485"/>
      <c r="B31" s="152" t="s">
        <v>147</v>
      </c>
      <c r="C31" s="482" t="s">
        <v>145</v>
      </c>
      <c r="D31" s="377"/>
      <c r="E31" s="381"/>
      <c r="F31" s="503"/>
      <c r="G31" s="504"/>
      <c r="H31" s="377"/>
      <c r="I31" s="381"/>
      <c r="J31" s="503"/>
      <c r="K31" s="381"/>
    </row>
    <row r="32" spans="1:11" ht="12.75">
      <c r="A32" s="486" t="s">
        <v>110</v>
      </c>
      <c r="B32" s="209" t="s">
        <v>148</v>
      </c>
      <c r="C32" s="479" t="s">
        <v>205</v>
      </c>
      <c r="D32" s="505">
        <f>D37+D39+D42+D45</f>
        <v>0</v>
      </c>
      <c r="E32" s="506">
        <f aca="true" t="shared" si="7" ref="E32:K32">E37+E39+E42+E45</f>
        <v>0</v>
      </c>
      <c r="F32" s="507">
        <f t="shared" si="7"/>
        <v>0</v>
      </c>
      <c r="G32" s="508">
        <f t="shared" si="7"/>
        <v>0</v>
      </c>
      <c r="H32" s="505">
        <f t="shared" si="7"/>
        <v>0</v>
      </c>
      <c r="I32" s="506">
        <f t="shared" si="7"/>
        <v>0</v>
      </c>
      <c r="J32" s="507">
        <f t="shared" si="7"/>
        <v>0</v>
      </c>
      <c r="K32" s="506">
        <f t="shared" si="7"/>
        <v>0</v>
      </c>
    </row>
    <row r="33" spans="1:11" ht="25.5">
      <c r="A33" s="485" t="s">
        <v>76</v>
      </c>
      <c r="B33" s="152" t="s">
        <v>195</v>
      </c>
      <c r="C33" s="482" t="s">
        <v>205</v>
      </c>
      <c r="D33" s="377"/>
      <c r="E33" s="381"/>
      <c r="F33" s="503"/>
      <c r="G33" s="504"/>
      <c r="H33" s="377"/>
      <c r="I33" s="381"/>
      <c r="J33" s="503"/>
      <c r="K33" s="381"/>
    </row>
    <row r="34" spans="1:11" ht="25.5">
      <c r="A34" s="485" t="s">
        <v>77</v>
      </c>
      <c r="B34" s="152" t="s">
        <v>196</v>
      </c>
      <c r="C34" s="482" t="s">
        <v>206</v>
      </c>
      <c r="D34" s="377"/>
      <c r="E34" s="381"/>
      <c r="F34" s="503"/>
      <c r="G34" s="504"/>
      <c r="H34" s="377"/>
      <c r="I34" s="381"/>
      <c r="J34" s="503"/>
      <c r="K34" s="381"/>
    </row>
    <row r="35" spans="1:11" ht="25.5">
      <c r="A35" s="478" t="s">
        <v>113</v>
      </c>
      <c r="B35" s="57" t="s">
        <v>197</v>
      </c>
      <c r="C35" s="479" t="s">
        <v>205</v>
      </c>
      <c r="D35" s="505">
        <f>(D33*D34)/100</f>
        <v>0</v>
      </c>
      <c r="E35" s="506">
        <f aca="true" t="shared" si="8" ref="E35:K35">(E33*E34)/100</f>
        <v>0</v>
      </c>
      <c r="F35" s="507">
        <f t="shared" si="8"/>
        <v>0</v>
      </c>
      <c r="G35" s="508">
        <f t="shared" si="8"/>
        <v>0</v>
      </c>
      <c r="H35" s="505">
        <f t="shared" si="8"/>
        <v>0</v>
      </c>
      <c r="I35" s="506">
        <f t="shared" si="8"/>
        <v>0</v>
      </c>
      <c r="J35" s="507">
        <f t="shared" si="8"/>
        <v>0</v>
      </c>
      <c r="K35" s="506">
        <f t="shared" si="8"/>
        <v>0</v>
      </c>
    </row>
    <row r="36" spans="1:11" ht="12.75">
      <c r="A36" s="485"/>
      <c r="B36" s="152" t="s">
        <v>478</v>
      </c>
      <c r="C36" s="143"/>
      <c r="D36" s="377"/>
      <c r="E36" s="381"/>
      <c r="F36" s="503"/>
      <c r="G36" s="504"/>
      <c r="H36" s="377"/>
      <c r="I36" s="381"/>
      <c r="J36" s="503"/>
      <c r="K36" s="381"/>
    </row>
    <row r="37" spans="1:11" ht="12.75">
      <c r="A37" s="478"/>
      <c r="B37" s="57" t="s">
        <v>479</v>
      </c>
      <c r="C37" s="479"/>
      <c r="D37" s="505">
        <f>D36*D35</f>
        <v>0</v>
      </c>
      <c r="E37" s="506">
        <f aca="true" t="shared" si="9" ref="E37:K37">E36*E35</f>
        <v>0</v>
      </c>
      <c r="F37" s="507">
        <f t="shared" si="9"/>
        <v>0</v>
      </c>
      <c r="G37" s="508">
        <f t="shared" si="9"/>
        <v>0</v>
      </c>
      <c r="H37" s="505">
        <f t="shared" si="9"/>
        <v>0</v>
      </c>
      <c r="I37" s="506">
        <f t="shared" si="9"/>
        <v>0</v>
      </c>
      <c r="J37" s="507">
        <f t="shared" si="9"/>
        <v>0</v>
      </c>
      <c r="K37" s="506">
        <f t="shared" si="9"/>
        <v>0</v>
      </c>
    </row>
    <row r="38" spans="1:11" ht="38.25">
      <c r="A38" s="489" t="s">
        <v>116</v>
      </c>
      <c r="B38" s="152" t="s">
        <v>287</v>
      </c>
      <c r="C38" s="482" t="s">
        <v>205</v>
      </c>
      <c r="D38" s="377"/>
      <c r="E38" s="381"/>
      <c r="F38" s="503"/>
      <c r="G38" s="504"/>
      <c r="H38" s="377"/>
      <c r="I38" s="381"/>
      <c r="J38" s="503"/>
      <c r="K38" s="381"/>
    </row>
    <row r="39" spans="1:11" ht="38.25">
      <c r="A39" s="488" t="s">
        <v>118</v>
      </c>
      <c r="B39" s="57" t="s">
        <v>198</v>
      </c>
      <c r="C39" s="479" t="s">
        <v>205</v>
      </c>
      <c r="D39" s="505">
        <f>(D40*D41)/100</f>
        <v>0</v>
      </c>
      <c r="E39" s="506">
        <f aca="true" t="shared" si="10" ref="E39:K39">(E40*E41)/100</f>
        <v>0</v>
      </c>
      <c r="F39" s="507">
        <f t="shared" si="10"/>
        <v>0</v>
      </c>
      <c r="G39" s="508">
        <f t="shared" si="10"/>
        <v>0</v>
      </c>
      <c r="H39" s="505">
        <f t="shared" si="10"/>
        <v>0</v>
      </c>
      <c r="I39" s="506">
        <f t="shared" si="10"/>
        <v>0</v>
      </c>
      <c r="J39" s="507">
        <f t="shared" si="10"/>
        <v>0</v>
      </c>
      <c r="K39" s="506">
        <f t="shared" si="10"/>
        <v>0</v>
      </c>
    </row>
    <row r="40" spans="1:11" ht="12.75">
      <c r="A40" s="487" t="s">
        <v>408</v>
      </c>
      <c r="B40" s="152" t="s">
        <v>199</v>
      </c>
      <c r="C40" s="482" t="s">
        <v>206</v>
      </c>
      <c r="D40" s="377"/>
      <c r="E40" s="381"/>
      <c r="F40" s="503"/>
      <c r="G40" s="504"/>
      <c r="H40" s="377"/>
      <c r="I40" s="381"/>
      <c r="J40" s="503"/>
      <c r="K40" s="381"/>
    </row>
    <row r="41" spans="1:11" ht="12.75">
      <c r="A41" s="487" t="s">
        <v>409</v>
      </c>
      <c r="B41" s="152" t="s">
        <v>200</v>
      </c>
      <c r="C41" s="482" t="s">
        <v>205</v>
      </c>
      <c r="D41" s="377"/>
      <c r="E41" s="381"/>
      <c r="F41" s="503"/>
      <c r="G41" s="504"/>
      <c r="H41" s="377"/>
      <c r="I41" s="381"/>
      <c r="J41" s="503"/>
      <c r="K41" s="381"/>
    </row>
    <row r="42" spans="1:11" ht="12.75">
      <c r="A42" s="490" t="s">
        <v>151</v>
      </c>
      <c r="B42" s="209" t="s">
        <v>201</v>
      </c>
      <c r="C42" s="479" t="s">
        <v>205</v>
      </c>
      <c r="D42" s="505">
        <f>(D43*D44)/100</f>
        <v>0</v>
      </c>
      <c r="E42" s="506">
        <f aca="true" t="shared" si="11" ref="E42:K42">(E43*E44)/100</f>
        <v>0</v>
      </c>
      <c r="F42" s="507">
        <f t="shared" si="11"/>
        <v>0</v>
      </c>
      <c r="G42" s="508">
        <f t="shared" si="11"/>
        <v>0</v>
      </c>
      <c r="H42" s="505">
        <f t="shared" si="11"/>
        <v>0</v>
      </c>
      <c r="I42" s="506">
        <f t="shared" si="11"/>
        <v>0</v>
      </c>
      <c r="J42" s="507">
        <f t="shared" si="11"/>
        <v>0</v>
      </c>
      <c r="K42" s="506">
        <f t="shared" si="11"/>
        <v>0</v>
      </c>
    </row>
    <row r="43" spans="1:11" ht="12.75">
      <c r="A43" s="487" t="s">
        <v>208</v>
      </c>
      <c r="B43" s="152" t="s">
        <v>202</v>
      </c>
      <c r="C43" s="482" t="s">
        <v>206</v>
      </c>
      <c r="D43" s="377"/>
      <c r="E43" s="381"/>
      <c r="F43" s="503"/>
      <c r="G43" s="504"/>
      <c r="H43" s="377"/>
      <c r="I43" s="381"/>
      <c r="J43" s="503"/>
      <c r="K43" s="381"/>
    </row>
    <row r="44" spans="1:11" ht="12.75">
      <c r="A44" s="487" t="s">
        <v>209</v>
      </c>
      <c r="B44" s="152" t="s">
        <v>203</v>
      </c>
      <c r="C44" s="482" t="s">
        <v>205</v>
      </c>
      <c r="D44" s="377"/>
      <c r="E44" s="381"/>
      <c r="F44" s="503"/>
      <c r="G44" s="504"/>
      <c r="H44" s="377"/>
      <c r="I44" s="381"/>
      <c r="J44" s="503"/>
      <c r="K44" s="381"/>
    </row>
    <row r="45" spans="1:11" ht="51">
      <c r="A45" s="490" t="s">
        <v>152</v>
      </c>
      <c r="B45" s="209" t="s">
        <v>207</v>
      </c>
      <c r="C45" s="479" t="s">
        <v>205</v>
      </c>
      <c r="D45" s="505">
        <f>(D46*D47)/100+D48</f>
        <v>0</v>
      </c>
      <c r="E45" s="506">
        <f aca="true" t="shared" si="12" ref="E45:K45">(E46*E47)/100+E48</f>
        <v>0</v>
      </c>
      <c r="F45" s="507">
        <f t="shared" si="12"/>
        <v>0</v>
      </c>
      <c r="G45" s="508">
        <f t="shared" si="12"/>
        <v>0</v>
      </c>
      <c r="H45" s="505">
        <f t="shared" si="12"/>
        <v>0</v>
      </c>
      <c r="I45" s="506">
        <f t="shared" si="12"/>
        <v>0</v>
      </c>
      <c r="J45" s="507">
        <f t="shared" si="12"/>
        <v>0</v>
      </c>
      <c r="K45" s="506">
        <f t="shared" si="12"/>
        <v>0</v>
      </c>
    </row>
    <row r="46" spans="1:11" ht="12.75">
      <c r="A46" s="487" t="s">
        <v>153</v>
      </c>
      <c r="B46" s="152" t="s">
        <v>202</v>
      </c>
      <c r="C46" s="482" t="s">
        <v>206</v>
      </c>
      <c r="D46" s="377"/>
      <c r="E46" s="381"/>
      <c r="F46" s="503"/>
      <c r="G46" s="504"/>
      <c r="H46" s="377"/>
      <c r="I46" s="381"/>
      <c r="J46" s="503"/>
      <c r="K46" s="381"/>
    </row>
    <row r="47" spans="1:11" ht="12.75">
      <c r="A47" s="487" t="s">
        <v>154</v>
      </c>
      <c r="B47" s="152" t="s">
        <v>203</v>
      </c>
      <c r="C47" s="482" t="s">
        <v>205</v>
      </c>
      <c r="D47" s="377"/>
      <c r="E47" s="381"/>
      <c r="F47" s="503"/>
      <c r="G47" s="504"/>
      <c r="H47" s="377"/>
      <c r="I47" s="381"/>
      <c r="J47" s="503"/>
      <c r="K47" s="381"/>
    </row>
    <row r="48" spans="1:11" ht="12.75">
      <c r="A48" s="487" t="s">
        <v>410</v>
      </c>
      <c r="B48" s="152" t="s">
        <v>149</v>
      </c>
      <c r="C48" s="482" t="s">
        <v>205</v>
      </c>
      <c r="D48" s="377"/>
      <c r="E48" s="381"/>
      <c r="F48" s="503"/>
      <c r="G48" s="504"/>
      <c r="H48" s="377"/>
      <c r="I48" s="381"/>
      <c r="J48" s="503"/>
      <c r="K48" s="381"/>
    </row>
    <row r="49" spans="1:11" ht="38.25">
      <c r="A49" s="490" t="s">
        <v>210</v>
      </c>
      <c r="B49" s="209" t="s">
        <v>150</v>
      </c>
      <c r="C49" s="479" t="s">
        <v>109</v>
      </c>
      <c r="D49" s="505">
        <f aca="true" t="shared" si="13" ref="D49:K49">(D32*D31)*12/1000</f>
        <v>0</v>
      </c>
      <c r="E49" s="506">
        <f t="shared" si="13"/>
        <v>0</v>
      </c>
      <c r="F49" s="507">
        <f t="shared" si="13"/>
        <v>0</v>
      </c>
      <c r="G49" s="508">
        <f t="shared" si="13"/>
        <v>0</v>
      </c>
      <c r="H49" s="505">
        <f t="shared" si="13"/>
        <v>0</v>
      </c>
      <c r="I49" s="506">
        <f t="shared" si="13"/>
        <v>0</v>
      </c>
      <c r="J49" s="507">
        <f t="shared" si="13"/>
        <v>0</v>
      </c>
      <c r="K49" s="506">
        <f t="shared" si="13"/>
        <v>0</v>
      </c>
    </row>
    <row r="50" spans="1:11" ht="38.25">
      <c r="A50" s="490" t="s">
        <v>211</v>
      </c>
      <c r="B50" s="209" t="s">
        <v>251</v>
      </c>
      <c r="C50" s="479" t="s">
        <v>109</v>
      </c>
      <c r="D50" s="505">
        <f>D49*'доп. инф.'!C6/100</f>
        <v>0</v>
      </c>
      <c r="E50" s="506">
        <f>E49*'доп. инф.'!C6/100</f>
        <v>0</v>
      </c>
      <c r="F50" s="507">
        <f>F49*'доп. инф.'!D6/100</f>
        <v>0</v>
      </c>
      <c r="G50" s="508">
        <f>G49*'доп. инф.'!D6/100</f>
        <v>0</v>
      </c>
      <c r="H50" s="505">
        <f>H49*'доп. инф.'!E6/100</f>
        <v>0</v>
      </c>
      <c r="I50" s="506">
        <f>I49*'доп. инф.'!E6/100</f>
        <v>0</v>
      </c>
      <c r="J50" s="507">
        <f>J49*'доп. инф.'!E6/100</f>
        <v>0</v>
      </c>
      <c r="K50" s="506">
        <f>K49*'доп. инф.'!E6/100</f>
        <v>0</v>
      </c>
    </row>
    <row r="51" spans="1:11" ht="30">
      <c r="A51" s="484" t="s">
        <v>122</v>
      </c>
      <c r="B51" s="211" t="s">
        <v>155</v>
      </c>
      <c r="C51" s="483"/>
      <c r="D51" s="513"/>
      <c r="E51" s="514"/>
      <c r="F51" s="515"/>
      <c r="G51" s="516"/>
      <c r="H51" s="513"/>
      <c r="I51" s="514"/>
      <c r="J51" s="515"/>
      <c r="K51" s="514"/>
    </row>
    <row r="52" spans="1:11" ht="12.75">
      <c r="A52" s="485" t="s">
        <v>204</v>
      </c>
      <c r="B52" s="152" t="s">
        <v>144</v>
      </c>
      <c r="C52" s="482" t="s">
        <v>145</v>
      </c>
      <c r="D52" s="729"/>
      <c r="E52" s="730"/>
      <c r="F52" s="731"/>
      <c r="G52" s="732"/>
      <c r="H52" s="729"/>
      <c r="I52" s="730"/>
      <c r="J52" s="731"/>
      <c r="K52" s="730"/>
    </row>
    <row r="53" spans="1:11" ht="12.75">
      <c r="A53" s="485"/>
      <c r="B53" s="152" t="s">
        <v>146</v>
      </c>
      <c r="C53" s="482" t="s">
        <v>145</v>
      </c>
      <c r="D53" s="729"/>
      <c r="E53" s="730"/>
      <c r="F53" s="731"/>
      <c r="G53" s="732"/>
      <c r="H53" s="729"/>
      <c r="I53" s="730"/>
      <c r="J53" s="731"/>
      <c r="K53" s="730"/>
    </row>
    <row r="54" spans="1:11" ht="25.5">
      <c r="A54" s="485"/>
      <c r="B54" s="152" t="s">
        <v>147</v>
      </c>
      <c r="C54" s="482" t="s">
        <v>145</v>
      </c>
      <c r="D54" s="729"/>
      <c r="E54" s="730">
        <v>0.013</v>
      </c>
      <c r="F54" s="731"/>
      <c r="G54" s="732">
        <v>0.025</v>
      </c>
      <c r="H54" s="729">
        <v>0.025</v>
      </c>
      <c r="I54" s="730"/>
      <c r="J54" s="731">
        <v>0.033</v>
      </c>
      <c r="K54" s="730"/>
    </row>
    <row r="55" spans="1:11" ht="12.75">
      <c r="A55" s="486" t="s">
        <v>110</v>
      </c>
      <c r="B55" s="209" t="s">
        <v>148</v>
      </c>
      <c r="C55" s="479" t="s">
        <v>205</v>
      </c>
      <c r="D55" s="505">
        <f>D60+D62+D65+D68</f>
        <v>0</v>
      </c>
      <c r="E55" s="506">
        <f aca="true" t="shared" si="14" ref="E55:K55">E60+E62+E65+E68</f>
        <v>28198.27</v>
      </c>
      <c r="F55" s="507">
        <f t="shared" si="14"/>
        <v>0</v>
      </c>
      <c r="G55" s="508">
        <f t="shared" si="14"/>
        <v>29639.58</v>
      </c>
      <c r="H55" s="505">
        <f t="shared" si="14"/>
        <v>28642.83</v>
      </c>
      <c r="I55" s="506">
        <f t="shared" si="14"/>
        <v>0</v>
      </c>
      <c r="J55" s="507">
        <f t="shared" si="14"/>
        <v>31820.55</v>
      </c>
      <c r="K55" s="506">
        <f t="shared" si="14"/>
        <v>0</v>
      </c>
    </row>
    <row r="56" spans="1:11" ht="25.5">
      <c r="A56" s="485" t="s">
        <v>76</v>
      </c>
      <c r="B56" s="152" t="s">
        <v>195</v>
      </c>
      <c r="C56" s="482" t="s">
        <v>205</v>
      </c>
      <c r="D56" s="377"/>
      <c r="E56" s="381">
        <v>6610</v>
      </c>
      <c r="F56" s="503"/>
      <c r="G56" s="504">
        <v>7270.34</v>
      </c>
      <c r="H56" s="377">
        <v>7148</v>
      </c>
      <c r="I56" s="381"/>
      <c r="J56" s="503">
        <v>8549.52</v>
      </c>
      <c r="K56" s="381"/>
    </row>
    <row r="57" spans="1:11" ht="25.5">
      <c r="A57" s="485" t="s">
        <v>77</v>
      </c>
      <c r="B57" s="152" t="s">
        <v>196</v>
      </c>
      <c r="C57" s="482" t="s">
        <v>206</v>
      </c>
      <c r="D57" s="377"/>
      <c r="E57" s="381">
        <v>109.99</v>
      </c>
      <c r="F57" s="503"/>
      <c r="G57" s="504">
        <v>108</v>
      </c>
      <c r="H57" s="377">
        <v>100</v>
      </c>
      <c r="I57" s="381"/>
      <c r="J57" s="503">
        <v>104</v>
      </c>
      <c r="K57" s="381"/>
    </row>
    <row r="58" spans="1:13" ht="25.5">
      <c r="A58" s="478" t="s">
        <v>113</v>
      </c>
      <c r="B58" s="57" t="s">
        <v>197</v>
      </c>
      <c r="C58" s="479" t="s">
        <v>205</v>
      </c>
      <c r="D58" s="505">
        <f>D56*D57/100</f>
        <v>0</v>
      </c>
      <c r="E58" s="506">
        <f aca="true" t="shared" si="15" ref="E58:K58">(E56*E57)/100</f>
        <v>7270.34</v>
      </c>
      <c r="F58" s="507">
        <f t="shared" si="15"/>
        <v>0</v>
      </c>
      <c r="G58" s="508">
        <f t="shared" si="15"/>
        <v>7851.97</v>
      </c>
      <c r="H58" s="505">
        <f t="shared" si="15"/>
        <v>7148</v>
      </c>
      <c r="I58" s="506">
        <f t="shared" si="15"/>
        <v>0</v>
      </c>
      <c r="J58" s="507">
        <f t="shared" si="15"/>
        <v>8891.5</v>
      </c>
      <c r="K58" s="506">
        <f t="shared" si="15"/>
        <v>0</v>
      </c>
      <c r="L58" s="226"/>
      <c r="M58" s="226"/>
    </row>
    <row r="59" spans="1:13" ht="12.75">
      <c r="A59" s="485"/>
      <c r="B59" s="152" t="s">
        <v>478</v>
      </c>
      <c r="C59" s="482"/>
      <c r="D59" s="377"/>
      <c r="E59" s="381">
        <v>2.19</v>
      </c>
      <c r="F59" s="503"/>
      <c r="G59" s="504">
        <v>2.19</v>
      </c>
      <c r="H59" s="377">
        <v>2.19</v>
      </c>
      <c r="I59" s="381"/>
      <c r="J59" s="503">
        <v>2.19</v>
      </c>
      <c r="K59" s="381"/>
      <c r="L59" s="343"/>
      <c r="M59" s="226"/>
    </row>
    <row r="60" spans="1:13" ht="12.75">
      <c r="A60" s="478"/>
      <c r="B60" s="57" t="s">
        <v>479</v>
      </c>
      <c r="C60" s="479" t="s">
        <v>205</v>
      </c>
      <c r="D60" s="505">
        <f>D58*D59</f>
        <v>0</v>
      </c>
      <c r="E60" s="506">
        <f aca="true" t="shared" si="16" ref="E60:K60">E58*E59</f>
        <v>15922.04</v>
      </c>
      <c r="F60" s="507">
        <f t="shared" si="16"/>
        <v>0</v>
      </c>
      <c r="G60" s="508">
        <f t="shared" si="16"/>
        <v>17195.81</v>
      </c>
      <c r="H60" s="505">
        <f t="shared" si="16"/>
        <v>15654.12</v>
      </c>
      <c r="I60" s="506">
        <f t="shared" si="16"/>
        <v>0</v>
      </c>
      <c r="J60" s="507">
        <f t="shared" si="16"/>
        <v>19472.39</v>
      </c>
      <c r="K60" s="506">
        <f t="shared" si="16"/>
        <v>0</v>
      </c>
      <c r="L60" s="343"/>
      <c r="M60" s="226"/>
    </row>
    <row r="61" spans="1:13" ht="38.25">
      <c r="A61" s="489" t="s">
        <v>116</v>
      </c>
      <c r="B61" s="152" t="s">
        <v>287</v>
      </c>
      <c r="C61" s="482" t="s">
        <v>205</v>
      </c>
      <c r="D61" s="377"/>
      <c r="E61" s="381"/>
      <c r="F61" s="503"/>
      <c r="G61" s="504"/>
      <c r="H61" s="377"/>
      <c r="I61" s="381"/>
      <c r="J61" s="503"/>
      <c r="K61" s="381"/>
      <c r="L61" s="344"/>
      <c r="M61" s="226"/>
    </row>
    <row r="62" spans="1:13" ht="38.25">
      <c r="A62" s="488" t="s">
        <v>118</v>
      </c>
      <c r="B62" s="57" t="s">
        <v>198</v>
      </c>
      <c r="C62" s="479" t="s">
        <v>205</v>
      </c>
      <c r="D62" s="505">
        <f>(D63*D64)/100</f>
        <v>0</v>
      </c>
      <c r="E62" s="506">
        <f aca="true" t="shared" si="17" ref="E62:K62">(E63*E64)/100</f>
        <v>28.88</v>
      </c>
      <c r="F62" s="507">
        <f t="shared" si="17"/>
        <v>0</v>
      </c>
      <c r="G62" s="508">
        <f t="shared" si="17"/>
        <v>29.64</v>
      </c>
      <c r="H62" s="505">
        <f t="shared" si="17"/>
        <v>28.64</v>
      </c>
      <c r="I62" s="506">
        <f t="shared" si="17"/>
        <v>0</v>
      </c>
      <c r="J62" s="507">
        <f t="shared" si="17"/>
        <v>22.27</v>
      </c>
      <c r="K62" s="506">
        <f t="shared" si="17"/>
        <v>0</v>
      </c>
      <c r="L62" s="343"/>
      <c r="M62" s="226"/>
    </row>
    <row r="63" spans="1:11" ht="12.75">
      <c r="A63" s="487" t="s">
        <v>408</v>
      </c>
      <c r="B63" s="152" t="s">
        <v>199</v>
      </c>
      <c r="C63" s="482" t="s">
        <v>206</v>
      </c>
      <c r="D63" s="377"/>
      <c r="E63" s="381">
        <v>0.1</v>
      </c>
      <c r="F63" s="503"/>
      <c r="G63" s="504">
        <v>0.1</v>
      </c>
      <c r="H63" s="377">
        <v>0.1</v>
      </c>
      <c r="I63" s="381"/>
      <c r="J63" s="503">
        <v>0.07</v>
      </c>
      <c r="K63" s="381"/>
    </row>
    <row r="64" spans="1:11" ht="12.75">
      <c r="A64" s="487" t="s">
        <v>409</v>
      </c>
      <c r="B64" s="152" t="s">
        <v>200</v>
      </c>
      <c r="C64" s="482" t="s">
        <v>205</v>
      </c>
      <c r="D64" s="377"/>
      <c r="E64" s="381">
        <v>28877.08</v>
      </c>
      <c r="F64" s="503"/>
      <c r="G64" s="504">
        <v>29639.58</v>
      </c>
      <c r="H64" s="377">
        <v>28642.83</v>
      </c>
      <c r="I64" s="381"/>
      <c r="J64" s="503">
        <v>31820.55</v>
      </c>
      <c r="K64" s="381"/>
    </row>
    <row r="65" spans="1:11" ht="12.75">
      <c r="A65" s="492" t="s">
        <v>151</v>
      </c>
      <c r="B65" s="56" t="s">
        <v>201</v>
      </c>
      <c r="C65" s="143" t="s">
        <v>205</v>
      </c>
      <c r="D65" s="505">
        <v>0</v>
      </c>
      <c r="E65" s="506">
        <f aca="true" t="shared" si="18" ref="E65:K65">(E66*E67)/100</f>
        <v>9558.31</v>
      </c>
      <c r="F65" s="507">
        <f t="shared" si="18"/>
        <v>0</v>
      </c>
      <c r="G65" s="508">
        <f t="shared" si="18"/>
        <v>9781.06</v>
      </c>
      <c r="H65" s="505">
        <f t="shared" si="18"/>
        <v>9718.51</v>
      </c>
      <c r="I65" s="506">
        <f t="shared" si="18"/>
        <v>0</v>
      </c>
      <c r="J65" s="507">
        <f t="shared" si="18"/>
        <v>10796.71</v>
      </c>
      <c r="K65" s="506">
        <f t="shared" si="18"/>
        <v>0</v>
      </c>
    </row>
    <row r="66" spans="1:11" ht="12.75">
      <c r="A66" s="493" t="s">
        <v>208</v>
      </c>
      <c r="B66" s="28" t="s">
        <v>202</v>
      </c>
      <c r="C66" s="143" t="s">
        <v>206</v>
      </c>
      <c r="D66" s="377"/>
      <c r="E66" s="381">
        <v>33.1</v>
      </c>
      <c r="F66" s="503"/>
      <c r="G66" s="504">
        <v>33</v>
      </c>
      <c r="H66" s="377">
        <v>33.93</v>
      </c>
      <c r="I66" s="381"/>
      <c r="J66" s="503">
        <v>33.93</v>
      </c>
      <c r="K66" s="381"/>
    </row>
    <row r="67" spans="1:11" ht="12.75">
      <c r="A67" s="493" t="s">
        <v>209</v>
      </c>
      <c r="B67" s="28" t="s">
        <v>203</v>
      </c>
      <c r="C67" s="143" t="s">
        <v>205</v>
      </c>
      <c r="D67" s="377"/>
      <c r="E67" s="381">
        <v>28877.08</v>
      </c>
      <c r="F67" s="503"/>
      <c r="G67" s="504">
        <v>29639.58</v>
      </c>
      <c r="H67" s="377">
        <v>28642.83</v>
      </c>
      <c r="I67" s="381"/>
      <c r="J67" s="503">
        <v>31820.55</v>
      </c>
      <c r="K67" s="381"/>
    </row>
    <row r="68" spans="1:11" ht="51">
      <c r="A68" s="492" t="s">
        <v>152</v>
      </c>
      <c r="B68" s="56" t="s">
        <v>207</v>
      </c>
      <c r="C68" s="143" t="s">
        <v>205</v>
      </c>
      <c r="D68" s="505">
        <f>(D69*D70)/100+D71</f>
        <v>0</v>
      </c>
      <c r="E68" s="506">
        <f aca="true" t="shared" si="19" ref="E68:K68">(E69*E70)/100+E71</f>
        <v>2689.04</v>
      </c>
      <c r="F68" s="507">
        <f t="shared" si="19"/>
        <v>0</v>
      </c>
      <c r="G68" s="508">
        <f t="shared" si="19"/>
        <v>2633.07</v>
      </c>
      <c r="H68" s="505">
        <f t="shared" si="19"/>
        <v>3241.56</v>
      </c>
      <c r="I68" s="506">
        <f t="shared" si="19"/>
        <v>0</v>
      </c>
      <c r="J68" s="507">
        <f t="shared" si="19"/>
        <v>1529.18</v>
      </c>
      <c r="K68" s="506">
        <f t="shared" si="19"/>
        <v>0</v>
      </c>
    </row>
    <row r="69" spans="1:11" ht="12.75">
      <c r="A69" s="493" t="s">
        <v>153</v>
      </c>
      <c r="B69" s="28" t="s">
        <v>202</v>
      </c>
      <c r="C69" s="143" t="s">
        <v>206</v>
      </c>
      <c r="D69" s="377"/>
      <c r="E69" s="381">
        <v>8.1</v>
      </c>
      <c r="F69" s="503"/>
      <c r="G69" s="504">
        <v>8.1</v>
      </c>
      <c r="H69" s="377">
        <v>9</v>
      </c>
      <c r="I69" s="381"/>
      <c r="J69" s="503">
        <v>4.8</v>
      </c>
      <c r="K69" s="381"/>
    </row>
    <row r="70" spans="1:11" ht="12.75">
      <c r="A70" s="493" t="s">
        <v>154</v>
      </c>
      <c r="B70" s="28" t="s">
        <v>203</v>
      </c>
      <c r="C70" s="143" t="s">
        <v>205</v>
      </c>
      <c r="D70" s="377"/>
      <c r="E70" s="381">
        <v>28877.08</v>
      </c>
      <c r="F70" s="503"/>
      <c r="G70" s="504">
        <v>29639.58</v>
      </c>
      <c r="H70" s="377">
        <v>28642.83</v>
      </c>
      <c r="I70" s="381"/>
      <c r="J70" s="503">
        <v>31820.55</v>
      </c>
      <c r="K70" s="381"/>
    </row>
    <row r="71" spans="1:11" ht="12.75">
      <c r="A71" s="493" t="s">
        <v>410</v>
      </c>
      <c r="B71" s="28" t="s">
        <v>149</v>
      </c>
      <c r="C71" s="143" t="s">
        <v>205</v>
      </c>
      <c r="D71" s="377"/>
      <c r="E71" s="381">
        <v>350</v>
      </c>
      <c r="F71" s="503"/>
      <c r="G71" s="504">
        <v>232.26</v>
      </c>
      <c r="H71" s="377">
        <v>663.71</v>
      </c>
      <c r="I71" s="381"/>
      <c r="J71" s="503">
        <v>1.79</v>
      </c>
      <c r="K71" s="381"/>
    </row>
    <row r="72" spans="1:11" ht="38.25">
      <c r="A72" s="492" t="s">
        <v>210</v>
      </c>
      <c r="B72" s="56" t="s">
        <v>150</v>
      </c>
      <c r="C72" s="143" t="s">
        <v>109</v>
      </c>
      <c r="D72" s="505">
        <f aca="true" t="shared" si="20" ref="D72:K72">(D55*D54)*12/1000</f>
        <v>0</v>
      </c>
      <c r="E72" s="506">
        <f t="shared" si="20"/>
        <v>4.4</v>
      </c>
      <c r="F72" s="507">
        <f t="shared" si="20"/>
        <v>0</v>
      </c>
      <c r="G72" s="508">
        <f t="shared" si="20"/>
        <v>8.89</v>
      </c>
      <c r="H72" s="505">
        <f t="shared" si="20"/>
        <v>8.59</v>
      </c>
      <c r="I72" s="506">
        <f t="shared" si="20"/>
        <v>0</v>
      </c>
      <c r="J72" s="507">
        <f t="shared" si="20"/>
        <v>12.6</v>
      </c>
      <c r="K72" s="506">
        <f t="shared" si="20"/>
        <v>0</v>
      </c>
    </row>
    <row r="73" spans="1:11" ht="51.75" thickBot="1">
      <c r="A73" s="494" t="s">
        <v>211</v>
      </c>
      <c r="B73" s="495" t="s">
        <v>252</v>
      </c>
      <c r="C73" s="496" t="s">
        <v>109</v>
      </c>
      <c r="D73" s="517">
        <f>D72*'доп. инф.'!C6/100</f>
        <v>0</v>
      </c>
      <c r="E73" s="518">
        <f>E72*'доп. инф.'!C6/100</f>
        <v>1.33</v>
      </c>
      <c r="F73" s="519">
        <f>F72*'доп. инф.'!D6/100</f>
        <v>0</v>
      </c>
      <c r="G73" s="520">
        <f>G72*'доп. инф.'!D6/100</f>
        <v>2.68</v>
      </c>
      <c r="H73" s="517">
        <f>H72*'доп. инф.'!E6/100</f>
        <v>2.59</v>
      </c>
      <c r="I73" s="518">
        <f>I72*'доп. инф.'!E6/100</f>
        <v>0</v>
      </c>
      <c r="J73" s="519">
        <f>J72*'доп. инф.'!E6/100</f>
        <v>3.81</v>
      </c>
      <c r="K73" s="518">
        <f>K72*'доп. инф.'!E6/100</f>
        <v>0</v>
      </c>
    </row>
    <row r="78" spans="1:14" s="81" customFormat="1" ht="13.5" customHeight="1">
      <c r="A78" s="1077" t="s">
        <v>428</v>
      </c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27"/>
      <c r="M78" s="27"/>
      <c r="N78" s="27"/>
    </row>
    <row r="79" spans="1:11" s="81" customFormat="1" ht="12.75" customHeight="1">
      <c r="A79" s="980" t="s">
        <v>429</v>
      </c>
      <c r="B79" s="980"/>
      <c r="C79" s="980"/>
      <c r="D79" s="980"/>
      <c r="E79" s="980"/>
      <c r="F79" s="980"/>
      <c r="G79" s="980"/>
      <c r="H79" s="980"/>
      <c r="I79" s="980"/>
      <c r="J79" s="980"/>
      <c r="K79" s="980"/>
    </row>
  </sheetData>
  <sheetProtection password="C8D1" sheet="1" scenarios="1" formatRows="0"/>
  <mergeCells count="11">
    <mergeCell ref="C3:C4"/>
    <mergeCell ref="D3:E3"/>
    <mergeCell ref="A1:K1"/>
    <mergeCell ref="A78:K78"/>
    <mergeCell ref="A79:K79"/>
    <mergeCell ref="A2:K2"/>
    <mergeCell ref="F3:G3"/>
    <mergeCell ref="H3:I3"/>
    <mergeCell ref="J3:K3"/>
    <mergeCell ref="A3:A4"/>
    <mergeCell ref="B3:B4"/>
  </mergeCells>
  <printOptions/>
  <pageMargins left="0.15748031496062992" right="0" top="0" bottom="0" header="0" footer="0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_otreg"/>
  <dimension ref="A1:AA41"/>
  <sheetViews>
    <sheetView zoomScalePageLayoutView="0" workbookViewId="0" topLeftCell="B1">
      <selection activeCell="D17" sqref="D17:I19"/>
    </sheetView>
  </sheetViews>
  <sheetFormatPr defaultColWidth="9.140625" defaultRowHeight="12.75"/>
  <cols>
    <col min="1" max="1" width="5.140625" style="27" customWidth="1"/>
    <col min="2" max="2" width="33.8515625" style="27" customWidth="1"/>
    <col min="3" max="3" width="10.00390625" style="27" customWidth="1"/>
    <col min="4" max="4" width="9.00390625" style="27" customWidth="1"/>
    <col min="5" max="5" width="9.8515625" style="27" customWidth="1"/>
    <col min="6" max="6" width="9.421875" style="27" customWidth="1"/>
    <col min="7" max="7" width="9.28125" style="27" customWidth="1"/>
    <col min="8" max="9" width="23.28125" style="27" customWidth="1"/>
    <col min="10" max="16384" width="9.140625" style="27" customWidth="1"/>
  </cols>
  <sheetData>
    <row r="1" spans="1:9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</row>
    <row r="2" spans="1:9" ht="12.75">
      <c r="A2" s="1080" t="s">
        <v>413</v>
      </c>
      <c r="B2" s="1080"/>
      <c r="C2" s="1080"/>
      <c r="D2" s="1080"/>
      <c r="E2" s="1080"/>
      <c r="F2" s="1080"/>
      <c r="G2" s="1080"/>
      <c r="H2" s="1080"/>
      <c r="I2" s="1080"/>
    </row>
    <row r="3" spans="1:7" ht="12.75">
      <c r="A3" s="1070"/>
      <c r="B3" s="1000"/>
      <c r="C3" s="1000"/>
      <c r="D3" s="1000"/>
      <c r="E3" s="1000"/>
      <c r="F3" s="1000"/>
      <c r="G3" s="1000"/>
    </row>
    <row r="4" spans="1:9" ht="22.5" customHeight="1">
      <c r="A4" s="845" t="s">
        <v>5</v>
      </c>
      <c r="B4" s="845" t="s">
        <v>6</v>
      </c>
      <c r="C4" s="845" t="s">
        <v>7</v>
      </c>
      <c r="D4" s="1058">
        <f>factYear</f>
        <v>2017</v>
      </c>
      <c r="E4" s="1058"/>
      <c r="F4" s="1058">
        <f>currYear</f>
        <v>2018</v>
      </c>
      <c r="G4" s="1058"/>
      <c r="H4" s="461" t="str">
        <f>Заголовок!D17</f>
        <v>01.01.2019-30.06.2019</v>
      </c>
      <c r="I4" s="461" t="str">
        <f>Заголовок!E17</f>
        <v>01.07.2019-31.12.2019</v>
      </c>
    </row>
    <row r="5" spans="1:9" ht="18" customHeight="1">
      <c r="A5" s="845"/>
      <c r="B5" s="845"/>
      <c r="C5" s="845"/>
      <c r="D5" s="40" t="s">
        <v>161</v>
      </c>
      <c r="E5" s="40" t="s">
        <v>162</v>
      </c>
      <c r="F5" s="40" t="s">
        <v>161</v>
      </c>
      <c r="G5" s="40" t="s">
        <v>213</v>
      </c>
      <c r="H5" s="845" t="s">
        <v>425</v>
      </c>
      <c r="I5" s="845"/>
    </row>
    <row r="6" spans="1:9" ht="16.5" customHeight="1">
      <c r="A6" s="151">
        <v>1</v>
      </c>
      <c r="B6" s="200" t="s">
        <v>143</v>
      </c>
      <c r="C6" s="152"/>
      <c r="D6" s="152"/>
      <c r="E6" s="152"/>
      <c r="F6" s="152"/>
      <c r="G6" s="152"/>
      <c r="H6" s="152"/>
      <c r="I6" s="152"/>
    </row>
    <row r="7" spans="1:9" ht="12.75">
      <c r="A7" s="153" t="s">
        <v>10</v>
      </c>
      <c r="B7" s="142" t="s">
        <v>688</v>
      </c>
      <c r="C7" s="101" t="s">
        <v>109</v>
      </c>
      <c r="D7" s="801">
        <v>23575.33</v>
      </c>
      <c r="E7" s="801">
        <v>24452.7</v>
      </c>
      <c r="F7" s="801">
        <v>24515.9</v>
      </c>
      <c r="G7" s="801">
        <v>25370.24</v>
      </c>
      <c r="H7" s="801">
        <v>24644.92</v>
      </c>
      <c r="I7" s="801">
        <v>31419.5</v>
      </c>
    </row>
    <row r="8" spans="1:10" ht="12.75">
      <c r="A8" s="153" t="s">
        <v>20</v>
      </c>
      <c r="B8" s="142" t="s">
        <v>689</v>
      </c>
      <c r="C8" s="101" t="s">
        <v>109</v>
      </c>
      <c r="D8" s="801">
        <v>189.2</v>
      </c>
      <c r="E8" s="801">
        <v>13.7</v>
      </c>
      <c r="F8" s="801">
        <v>191.1</v>
      </c>
      <c r="G8" s="801">
        <v>55.13</v>
      </c>
      <c r="H8" s="801">
        <v>27.56</v>
      </c>
      <c r="I8" s="801">
        <v>57.33</v>
      </c>
      <c r="J8" s="800" t="s">
        <v>676</v>
      </c>
    </row>
    <row r="9" spans="1:10" ht="12.75">
      <c r="A9" s="153" t="s">
        <v>22</v>
      </c>
      <c r="B9" s="142" t="s">
        <v>690</v>
      </c>
      <c r="C9" s="101" t="s">
        <v>109</v>
      </c>
      <c r="D9" s="801">
        <v>20756.55</v>
      </c>
      <c r="E9" s="801">
        <v>20159.6</v>
      </c>
      <c r="F9" s="801">
        <v>21584.65</v>
      </c>
      <c r="G9" s="801">
        <v>22146.3</v>
      </c>
      <c r="H9" s="801">
        <v>21584.65</v>
      </c>
      <c r="I9" s="801">
        <v>24763.9</v>
      </c>
      <c r="J9" s="800" t="s">
        <v>676</v>
      </c>
    </row>
    <row r="10" spans="1:27" s="68" customFormat="1" ht="12.75">
      <c r="A10" s="1081" t="s">
        <v>335</v>
      </c>
      <c r="B10" s="1081"/>
      <c r="C10" s="1081"/>
      <c r="D10" s="1081"/>
      <c r="E10" s="1081"/>
      <c r="F10" s="1081"/>
      <c r="G10" s="1081"/>
      <c r="H10" s="1081"/>
      <c r="I10" s="1081"/>
      <c r="J10" s="16"/>
      <c r="K10" s="16"/>
      <c r="L10" s="16"/>
      <c r="M10" s="16"/>
      <c r="S10" s="16"/>
      <c r="T10" s="16"/>
      <c r="U10" s="16"/>
      <c r="V10" s="16"/>
      <c r="W10" s="16"/>
      <c r="X10" s="16"/>
      <c r="Y10" s="67"/>
      <c r="Z10" s="67"/>
      <c r="AA10" s="67"/>
    </row>
    <row r="11" spans="1:9" ht="32.25" customHeight="1">
      <c r="A11" s="151">
        <v>2</v>
      </c>
      <c r="B11" s="200" t="s">
        <v>414</v>
      </c>
      <c r="C11" s="44"/>
      <c r="D11" s="44"/>
      <c r="E11" s="44"/>
      <c r="F11" s="44"/>
      <c r="G11" s="44"/>
      <c r="H11" s="44"/>
      <c r="I11" s="44"/>
    </row>
    <row r="12" spans="1:9" ht="12.75">
      <c r="A12" s="153" t="s">
        <v>76</v>
      </c>
      <c r="B12" s="142" t="s">
        <v>688</v>
      </c>
      <c r="C12" s="101" t="s">
        <v>109</v>
      </c>
      <c r="D12" s="801">
        <v>32800.47</v>
      </c>
      <c r="E12" s="801">
        <v>31102.9</v>
      </c>
      <c r="F12" s="801">
        <v>34109.08</v>
      </c>
      <c r="G12" s="801">
        <v>35297.73</v>
      </c>
      <c r="H12" s="801">
        <v>34109.07</v>
      </c>
      <c r="I12" s="801">
        <v>39859.22</v>
      </c>
    </row>
    <row r="13" spans="1:10" ht="12.75">
      <c r="A13" s="153" t="s">
        <v>77</v>
      </c>
      <c r="B13" s="142" t="s">
        <v>689</v>
      </c>
      <c r="C13" s="101" t="s">
        <v>109</v>
      </c>
      <c r="D13" s="801"/>
      <c r="E13" s="801"/>
      <c r="F13" s="801"/>
      <c r="G13" s="801"/>
      <c r="H13" s="801"/>
      <c r="I13" s="801"/>
      <c r="J13" s="800" t="s">
        <v>676</v>
      </c>
    </row>
    <row r="14" spans="1:10" ht="12.75">
      <c r="A14" s="153" t="s">
        <v>113</v>
      </c>
      <c r="B14" s="142" t="s">
        <v>690</v>
      </c>
      <c r="C14" s="101" t="s">
        <v>109</v>
      </c>
      <c r="D14" s="801">
        <v>21870.77</v>
      </c>
      <c r="E14" s="801">
        <v>21368.7</v>
      </c>
      <c r="F14" s="801">
        <v>22993.29</v>
      </c>
      <c r="G14" s="801">
        <v>23335.21</v>
      </c>
      <c r="H14" s="801">
        <v>22993.29</v>
      </c>
      <c r="I14" s="801">
        <v>27458.99</v>
      </c>
      <c r="J14" s="800" t="s">
        <v>676</v>
      </c>
    </row>
    <row r="15" spans="1:27" s="68" customFormat="1" ht="12.75">
      <c r="A15" s="1081" t="s">
        <v>335</v>
      </c>
      <c r="B15" s="1081"/>
      <c r="C15" s="1081"/>
      <c r="D15" s="1081"/>
      <c r="E15" s="1081"/>
      <c r="F15" s="1081"/>
      <c r="G15" s="1081"/>
      <c r="H15" s="1081"/>
      <c r="I15" s="1081"/>
      <c r="J15" s="16"/>
      <c r="K15" s="16"/>
      <c r="L15" s="16"/>
      <c r="M15" s="16"/>
      <c r="S15" s="16"/>
      <c r="T15" s="16"/>
      <c r="U15" s="16"/>
      <c r="V15" s="16"/>
      <c r="W15" s="16"/>
      <c r="X15" s="16"/>
      <c r="Y15" s="67"/>
      <c r="Z15" s="67"/>
      <c r="AA15" s="67"/>
    </row>
    <row r="16" spans="1:9" ht="16.5" customHeight="1">
      <c r="A16" s="151">
        <v>3</v>
      </c>
      <c r="B16" s="200" t="s">
        <v>155</v>
      </c>
      <c r="C16" s="44"/>
      <c r="D16" s="44"/>
      <c r="E16" s="44"/>
      <c r="F16" s="44"/>
      <c r="G16" s="44"/>
      <c r="H16" s="44"/>
      <c r="I16" s="44"/>
    </row>
    <row r="17" spans="1:9" ht="12.75">
      <c r="A17" s="153" t="s">
        <v>78</v>
      </c>
      <c r="B17" s="142" t="s">
        <v>688</v>
      </c>
      <c r="C17" s="101" t="s">
        <v>109</v>
      </c>
      <c r="D17" s="801">
        <v>11898.98</v>
      </c>
      <c r="E17" s="801">
        <v>12474.9</v>
      </c>
      <c r="F17" s="801">
        <v>12373.7</v>
      </c>
      <c r="G17" s="801">
        <v>12804.3</v>
      </c>
      <c r="H17" s="801">
        <v>14092.27</v>
      </c>
      <c r="I17" s="801">
        <v>15655.71</v>
      </c>
    </row>
    <row r="18" spans="1:10" ht="12.75">
      <c r="A18" s="153" t="s">
        <v>79</v>
      </c>
      <c r="B18" s="142" t="s">
        <v>689</v>
      </c>
      <c r="C18" s="101" t="s">
        <v>109</v>
      </c>
      <c r="D18" s="801"/>
      <c r="E18" s="801">
        <v>4.4</v>
      </c>
      <c r="F18" s="801"/>
      <c r="G18" s="801">
        <v>8.89</v>
      </c>
      <c r="H18" s="801">
        <v>8.59</v>
      </c>
      <c r="I18" s="801">
        <v>12.6</v>
      </c>
      <c r="J18" s="800" t="s">
        <v>676</v>
      </c>
    </row>
    <row r="19" spans="1:10" ht="12.75">
      <c r="A19" s="153" t="s">
        <v>260</v>
      </c>
      <c r="B19" s="142" t="s">
        <v>690</v>
      </c>
      <c r="C19" s="101" t="s">
        <v>109</v>
      </c>
      <c r="D19" s="801">
        <v>8834.11</v>
      </c>
      <c r="E19" s="801">
        <v>9311.5</v>
      </c>
      <c r="F19" s="801">
        <v>8936.56</v>
      </c>
      <c r="G19" s="801">
        <v>9247.55</v>
      </c>
      <c r="H19" s="801">
        <v>10311.42</v>
      </c>
      <c r="I19" s="801">
        <v>11455.4</v>
      </c>
      <c r="J19" s="800" t="s">
        <v>676</v>
      </c>
    </row>
    <row r="20" spans="1:27" s="68" customFormat="1" ht="12.75">
      <c r="A20" s="1081" t="s">
        <v>335</v>
      </c>
      <c r="B20" s="1081"/>
      <c r="C20" s="1081"/>
      <c r="D20" s="1081"/>
      <c r="E20" s="1081"/>
      <c r="F20" s="1081"/>
      <c r="G20" s="1081"/>
      <c r="H20" s="1081"/>
      <c r="I20" s="1081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67"/>
      <c r="Z20" s="67"/>
      <c r="AA20" s="67"/>
    </row>
    <row r="21" spans="1:7" ht="12.75">
      <c r="A21" s="29"/>
      <c r="B21" s="29"/>
      <c r="C21" s="29"/>
      <c r="D21" s="29"/>
      <c r="E21" s="29"/>
      <c r="F21" s="29"/>
      <c r="G21" s="29"/>
    </row>
    <row r="22" spans="1:7" ht="12.75">
      <c r="A22" s="29"/>
      <c r="B22" s="29"/>
      <c r="C22" s="29"/>
      <c r="D22" s="29"/>
      <c r="E22" s="29"/>
      <c r="F22" s="29"/>
      <c r="G22" s="29"/>
    </row>
    <row r="23" spans="1:14" s="81" customFormat="1" ht="13.5" customHeight="1">
      <c r="A23" s="930" t="s">
        <v>428</v>
      </c>
      <c r="B23" s="930"/>
      <c r="C23" s="930"/>
      <c r="D23" s="930"/>
      <c r="E23" s="930"/>
      <c r="F23" s="930"/>
      <c r="G23" s="930"/>
      <c r="H23" s="930"/>
      <c r="I23" s="930"/>
      <c r="J23" s="27"/>
      <c r="K23" s="27"/>
      <c r="L23" s="27"/>
      <c r="M23" s="27"/>
      <c r="N23" s="27"/>
    </row>
    <row r="24" spans="1:11" s="81" customFormat="1" ht="12.75" customHeight="1">
      <c r="A24" s="929" t="s">
        <v>429</v>
      </c>
      <c r="B24" s="929"/>
      <c r="C24" s="929"/>
      <c r="D24" s="929"/>
      <c r="E24" s="929"/>
      <c r="F24" s="929"/>
      <c r="G24" s="929"/>
      <c r="H24" s="929"/>
      <c r="I24" s="929"/>
      <c r="J24" s="15"/>
      <c r="K24" s="15"/>
    </row>
    <row r="25" spans="1:7" ht="12.75">
      <c r="A25" s="29"/>
      <c r="B25" s="29"/>
      <c r="C25" s="29"/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  <row r="28" spans="1:7" ht="12.75">
      <c r="A28" s="29"/>
      <c r="B28" s="29"/>
      <c r="C28" s="29"/>
      <c r="D28" s="29"/>
      <c r="E28" s="29"/>
      <c r="F28" s="29"/>
      <c r="G28" s="29"/>
    </row>
    <row r="29" spans="1:7" ht="12.75">
      <c r="A29" s="29"/>
      <c r="B29" s="29"/>
      <c r="C29" s="29"/>
      <c r="D29" s="29"/>
      <c r="E29" s="29"/>
      <c r="F29" s="29"/>
      <c r="G29" s="29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9"/>
      <c r="B32" s="29"/>
      <c r="C32" s="29"/>
      <c r="D32" s="29"/>
      <c r="E32" s="29"/>
      <c r="F32" s="29"/>
      <c r="G32" s="29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</sheetData>
  <sheetProtection password="C8D1" sheet="1" objects="1" scenarios="1" formatCells="0" formatRows="0"/>
  <mergeCells count="14">
    <mergeCell ref="A23:I23"/>
    <mergeCell ref="A24:I24"/>
    <mergeCell ref="A10:I10"/>
    <mergeCell ref="A15:I15"/>
    <mergeCell ref="A20:I20"/>
    <mergeCell ref="A1:I1"/>
    <mergeCell ref="C4:C5"/>
    <mergeCell ref="A2:I2"/>
    <mergeCell ref="H5:I5"/>
    <mergeCell ref="A3:G3"/>
    <mergeCell ref="D4:E4"/>
    <mergeCell ref="F4:G4"/>
    <mergeCell ref="A4:A5"/>
    <mergeCell ref="B4:B5"/>
  </mergeCells>
  <hyperlinks>
    <hyperlink ref="A10" tooltip="Кликните по гиперссылке для добавления новой строки" display="Добавить строки"/>
    <hyperlink ref="A15" tooltip="Кликните по гиперссылке для добавления новой строки" display="Добавить строки"/>
    <hyperlink ref="A20" tooltip="Кликните по гиперссылке для добавления новой строки" display="Добавить строки"/>
    <hyperlink ref="J9" tooltip="Нажмите для удаления текущей строки" display="Удалить"/>
    <hyperlink ref="J8" tooltip="Нажмите для удаления текущей строки" display="Удалить"/>
    <hyperlink ref="J14" tooltip="Нажмите для удаления текущей строки" display="Удалить"/>
    <hyperlink ref="J13" tooltip="Нажмите для удаления текущей строки" display="Удалить"/>
    <hyperlink ref="J19" tooltip="Нажмите для удаления текущей строки" display="Удалить"/>
    <hyperlink ref="J18" tooltip="Нажмите для удаления текущей строки" display="Удалить"/>
  </hyperlinks>
  <printOptions/>
  <pageMargins left="0.1968503937007874" right="0" top="0.3937007874015748" bottom="0.1968503937007874" header="0" footer="0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_orr"/>
  <dimension ref="A1:AA14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.57421875" style="32" customWidth="1"/>
    <col min="2" max="2" width="26.28125" style="32" customWidth="1"/>
    <col min="3" max="3" width="25.28125" style="32" customWidth="1"/>
    <col min="4" max="4" width="21.57421875" style="32" customWidth="1"/>
    <col min="5" max="5" width="8.421875" style="32" customWidth="1"/>
    <col min="6" max="6" width="10.00390625" style="32" customWidth="1"/>
    <col min="7" max="7" width="15.28125" style="32" customWidth="1"/>
    <col min="8" max="8" width="14.140625" style="32" customWidth="1"/>
    <col min="9" max="9" width="13.7109375" style="32" customWidth="1"/>
    <col min="10" max="10" width="14.140625" style="32" customWidth="1"/>
    <col min="11" max="16384" width="9.140625" style="32" customWidth="1"/>
  </cols>
  <sheetData>
    <row r="1" spans="1:10" ht="12.75">
      <c r="A1" s="846" t="str">
        <f>org</f>
        <v>Муниципальное предприятие по эксплуатации систем водоснабжения и водоотведения "Водоканал" г.Великие Луки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2.75">
      <c r="A2" s="1084" t="str">
        <f>"ОТЧЕТ О ВЫПОЛНЕНИИ РЕМОНТНЫХ РАБОТ И ЗАТРАТАХ НА РЕМОНТНОЕ ОБСЛУЖИВАНИЕ ЗДАНИЙ И СООРУЖЕНИЙ В "&amp;factYear&amp;" ГОДУ В СИСТЕМЕ ВОДОСНАБЖЕНИЯ"</f>
        <v>ОТЧЕТ О ВЫПОЛНЕНИИ РЕМОНТНЫХ РАБОТ И ЗАТРАТАХ НА РЕМОНТНОЕ ОБСЛУЖИВАНИЕ ЗДАНИЙ И СООРУЖЕНИЙ В 2017 ГОДУ В СИСТЕМЕ ВОДОСНАБЖЕНИЯ</v>
      </c>
      <c r="B2" s="1084"/>
      <c r="C2" s="1084"/>
      <c r="D2" s="1084"/>
      <c r="E2" s="1084"/>
      <c r="F2" s="1084"/>
      <c r="G2" s="1084"/>
      <c r="H2" s="1084"/>
      <c r="I2" s="1084"/>
      <c r="J2" s="1084"/>
    </row>
    <row r="3" spans="1:10" ht="12.75">
      <c r="A3" s="1085" t="s">
        <v>53</v>
      </c>
      <c r="B3" s="1085"/>
      <c r="C3" s="1085"/>
      <c r="D3" s="1085"/>
      <c r="E3" s="1085"/>
      <c r="F3" s="1085"/>
      <c r="G3" s="1085"/>
      <c r="H3" s="1085"/>
      <c r="I3" s="1085"/>
      <c r="J3" s="1085"/>
    </row>
    <row r="4" spans="1:10" ht="12.75" customHeight="1">
      <c r="A4" s="1082" t="s">
        <v>5</v>
      </c>
      <c r="B4" s="1082" t="s">
        <v>82</v>
      </c>
      <c r="C4" s="1082" t="s">
        <v>106</v>
      </c>
      <c r="D4" s="1082" t="s">
        <v>83</v>
      </c>
      <c r="E4" s="1082" t="s">
        <v>3</v>
      </c>
      <c r="F4" s="1082" t="s">
        <v>107</v>
      </c>
      <c r="G4" s="1082"/>
      <c r="H4" s="1082"/>
      <c r="I4" s="1082"/>
      <c r="J4" s="1082"/>
    </row>
    <row r="5" spans="1:10" ht="12.75">
      <c r="A5" s="1082"/>
      <c r="B5" s="1082"/>
      <c r="C5" s="1082"/>
      <c r="D5" s="1082"/>
      <c r="E5" s="1082"/>
      <c r="F5" s="1082" t="s">
        <v>87</v>
      </c>
      <c r="G5" s="50" t="s">
        <v>84</v>
      </c>
      <c r="H5" s="1082" t="s">
        <v>85</v>
      </c>
      <c r="I5" s="1082"/>
      <c r="J5" s="1082"/>
    </row>
    <row r="6" spans="1:10" ht="25.5">
      <c r="A6" s="1082"/>
      <c r="B6" s="1082"/>
      <c r="C6" s="1082"/>
      <c r="D6" s="1082"/>
      <c r="E6" s="1082"/>
      <c r="F6" s="1082"/>
      <c r="G6" s="50" t="s">
        <v>91</v>
      </c>
      <c r="H6" s="50" t="s">
        <v>89</v>
      </c>
      <c r="I6" s="50" t="s">
        <v>90</v>
      </c>
      <c r="J6" s="50" t="s">
        <v>91</v>
      </c>
    </row>
    <row r="7" spans="1:10" ht="12.75">
      <c r="A7" s="50"/>
      <c r="B7" s="60" t="s">
        <v>105</v>
      </c>
      <c r="C7" s="61"/>
      <c r="D7" s="61"/>
      <c r="E7" s="536"/>
      <c r="F7" s="733">
        <f>SUM(F8:F10)</f>
        <v>0</v>
      </c>
      <c r="G7" s="734"/>
      <c r="H7" s="733">
        <f>SUM(H8:H10)</f>
        <v>0</v>
      </c>
      <c r="I7" s="734"/>
      <c r="J7" s="734"/>
    </row>
    <row r="8" spans="1:10" ht="12.75" hidden="1">
      <c r="A8" s="155"/>
      <c r="B8" s="155"/>
      <c r="C8" s="155"/>
      <c r="D8" s="155"/>
      <c r="E8" s="537"/>
      <c r="F8" s="735"/>
      <c r="G8" s="735"/>
      <c r="H8" s="735"/>
      <c r="I8" s="735"/>
      <c r="J8" s="735"/>
    </row>
    <row r="9" spans="1:10" ht="12.75">
      <c r="A9" s="154" t="s">
        <v>50</v>
      </c>
      <c r="B9" s="150" t="s">
        <v>74</v>
      </c>
      <c r="C9" s="150"/>
      <c r="D9" s="150"/>
      <c r="E9" s="538"/>
      <c r="F9" s="733">
        <f>H9+G9</f>
        <v>0</v>
      </c>
      <c r="G9" s="736"/>
      <c r="H9" s="733">
        <f>I9+J9</f>
        <v>0</v>
      </c>
      <c r="I9" s="736"/>
      <c r="J9" s="736"/>
    </row>
    <row r="10" spans="1:27" s="68" customFormat="1" ht="12.75">
      <c r="A10" s="1083" t="s">
        <v>335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6"/>
      <c r="L10" s="16"/>
      <c r="M10" s="16"/>
      <c r="S10" s="16"/>
      <c r="T10" s="16"/>
      <c r="U10" s="16"/>
      <c r="V10" s="16"/>
      <c r="W10" s="16"/>
      <c r="X10" s="16"/>
      <c r="Y10" s="67"/>
      <c r="Z10" s="67"/>
      <c r="AA10" s="67"/>
    </row>
    <row r="13" spans="1:14" s="14" customFormat="1" ht="13.5" customHeight="1">
      <c r="A13" s="1077" t="s">
        <v>428</v>
      </c>
      <c r="B13" s="1077"/>
      <c r="C13" s="1077"/>
      <c r="D13" s="1077"/>
      <c r="E13" s="1077"/>
      <c r="F13" s="1077"/>
      <c r="G13" s="1077"/>
      <c r="H13" s="1077"/>
      <c r="I13" s="1077"/>
      <c r="J13" s="1077"/>
      <c r="K13" s="32"/>
      <c r="L13" s="32"/>
      <c r="M13" s="32"/>
      <c r="N13" s="32"/>
    </row>
    <row r="14" spans="1:11" s="14" customFormat="1" ht="12.75" customHeight="1">
      <c r="A14" s="980" t="s">
        <v>429</v>
      </c>
      <c r="B14" s="980"/>
      <c r="C14" s="980"/>
      <c r="D14" s="980"/>
      <c r="E14" s="980"/>
      <c r="F14" s="980"/>
      <c r="G14" s="980"/>
      <c r="H14" s="980"/>
      <c r="I14" s="980"/>
      <c r="J14" s="980"/>
      <c r="K14" s="15"/>
    </row>
  </sheetData>
  <sheetProtection formatRows="0"/>
  <mergeCells count="14">
    <mergeCell ref="A1:J1"/>
    <mergeCell ref="A13:J13"/>
    <mergeCell ref="A14:J14"/>
    <mergeCell ref="A2:J2"/>
    <mergeCell ref="A3:J3"/>
    <mergeCell ref="A4:A6"/>
    <mergeCell ref="B4:B6"/>
    <mergeCell ref="C4:C6"/>
    <mergeCell ref="E4:E6"/>
    <mergeCell ref="F4:J4"/>
    <mergeCell ref="A10:J10"/>
    <mergeCell ref="F5:F6"/>
    <mergeCell ref="D4:D6"/>
    <mergeCell ref="H5:J5"/>
  </mergeCells>
  <hyperlinks>
    <hyperlink ref="A10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_tr"/>
  <dimension ref="A1:AB20"/>
  <sheetViews>
    <sheetView zoomScalePageLayoutView="0" workbookViewId="0" topLeftCell="E1">
      <selection activeCell="E8" sqref="E8"/>
    </sheetView>
  </sheetViews>
  <sheetFormatPr defaultColWidth="9.140625" defaultRowHeight="12.75"/>
  <cols>
    <col min="1" max="1" width="3.8515625" style="27" customWidth="1"/>
    <col min="2" max="2" width="19.28125" style="27" customWidth="1"/>
    <col min="3" max="3" width="20.57421875" style="27" customWidth="1"/>
    <col min="4" max="4" width="10.421875" style="27" customWidth="1"/>
    <col min="5" max="6" width="10.7109375" style="27" customWidth="1"/>
    <col min="7" max="7" width="10.421875" style="27" customWidth="1"/>
    <col min="8" max="8" width="10.28125" style="27" customWidth="1"/>
    <col min="9" max="9" width="7.8515625" style="27" customWidth="1"/>
    <col min="10" max="10" width="12.28125" style="27" customWidth="1"/>
    <col min="11" max="11" width="9.140625" style="27" customWidth="1"/>
    <col min="12" max="12" width="9.8515625" style="27" customWidth="1"/>
    <col min="13" max="13" width="10.57421875" style="27" customWidth="1"/>
    <col min="14" max="14" width="9.140625" style="27" customWidth="1"/>
    <col min="15" max="15" width="12.28125" style="27" customWidth="1"/>
    <col min="16" max="17" width="9.140625" style="27" customWidth="1"/>
    <col min="18" max="18" width="10.28125" style="27" customWidth="1"/>
    <col min="19" max="19" width="9.140625" style="27" customWidth="1"/>
    <col min="20" max="20" width="11.7109375" style="27" customWidth="1"/>
    <col min="21" max="22" width="9.140625" style="27" customWidth="1"/>
    <col min="23" max="23" width="11.57421875" style="27" customWidth="1"/>
    <col min="24" max="24" width="9.140625" style="27" customWidth="1"/>
    <col min="25" max="25" width="11.57421875" style="27" customWidth="1"/>
    <col min="26" max="27" width="9.140625" style="27" customWidth="1"/>
    <col min="28" max="28" width="10.421875" style="27" customWidth="1"/>
    <col min="29" max="16384" width="9.140625" style="27" customWidth="1"/>
  </cols>
  <sheetData>
    <row r="1" spans="1:28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1000"/>
      <c r="W1" s="1000"/>
      <c r="X1" s="1000"/>
      <c r="Y1" s="1000"/>
      <c r="Z1" s="1000"/>
      <c r="AA1" s="1000"/>
      <c r="AB1" s="1000"/>
    </row>
    <row r="2" spans="1:28" ht="12.75">
      <c r="A2" s="1080" t="s">
        <v>92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</row>
    <row r="3" spans="1:28" ht="12.75">
      <c r="A3" s="156" t="s">
        <v>93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078"/>
      <c r="S3" s="1078"/>
      <c r="T3" s="156"/>
      <c r="U3" s="156"/>
      <c r="V3" s="156"/>
      <c r="W3" s="1088"/>
      <c r="X3" s="1088"/>
      <c r="Y3" s="1088"/>
      <c r="Z3" s="1088"/>
      <c r="AA3" s="1088"/>
      <c r="AB3" s="1088"/>
    </row>
    <row r="4" spans="1:28" ht="22.5" customHeight="1">
      <c r="A4" s="157"/>
      <c r="B4" s="1086" t="s">
        <v>82</v>
      </c>
      <c r="C4" s="1086" t="s">
        <v>83</v>
      </c>
      <c r="D4" s="1086" t="s">
        <v>3</v>
      </c>
      <c r="E4" s="1089">
        <f>factYear</f>
        <v>2017</v>
      </c>
      <c r="F4" s="1090"/>
      <c r="G4" s="1089">
        <f>currYear</f>
        <v>2018</v>
      </c>
      <c r="H4" s="1090"/>
      <c r="I4" s="1087" t="str">
        <f>Заголовок!D17</f>
        <v>01.01.2019-30.06.2019</v>
      </c>
      <c r="J4" s="1096"/>
      <c r="K4" s="1096"/>
      <c r="L4" s="1096"/>
      <c r="M4" s="1096"/>
      <c r="N4" s="1096"/>
      <c r="O4" s="1096"/>
      <c r="P4" s="1096"/>
      <c r="Q4" s="1096"/>
      <c r="R4" s="1096"/>
      <c r="S4" s="1087" t="str">
        <f>Заголовок!E17</f>
        <v>01.07.2019-31.12.2019</v>
      </c>
      <c r="T4" s="1005"/>
      <c r="U4" s="1005"/>
      <c r="V4" s="1005"/>
      <c r="W4" s="1005"/>
      <c r="X4" s="1005"/>
      <c r="Y4" s="1005"/>
      <c r="Z4" s="1005"/>
      <c r="AA4" s="1005"/>
      <c r="AB4" s="1005"/>
    </row>
    <row r="5" spans="1:28" ht="22.5" customHeight="1">
      <c r="A5" s="845" t="s">
        <v>5</v>
      </c>
      <c r="B5" s="1086"/>
      <c r="C5" s="1086"/>
      <c r="D5" s="1086"/>
      <c r="E5" s="1091"/>
      <c r="F5" s="1092"/>
      <c r="G5" s="1091"/>
      <c r="H5" s="1092"/>
      <c r="I5" s="1086" t="s">
        <v>86</v>
      </c>
      <c r="J5" s="1086"/>
      <c r="K5" s="1086"/>
      <c r="L5" s="1086"/>
      <c r="M5" s="1086"/>
      <c r="N5" s="1086" t="s">
        <v>88</v>
      </c>
      <c r="O5" s="1086"/>
      <c r="P5" s="1086"/>
      <c r="Q5" s="1086"/>
      <c r="R5" s="1086"/>
      <c r="S5" s="1086" t="s">
        <v>86</v>
      </c>
      <c r="T5" s="1086"/>
      <c r="U5" s="1086"/>
      <c r="V5" s="1086"/>
      <c r="W5" s="1086"/>
      <c r="X5" s="1086" t="s">
        <v>88</v>
      </c>
      <c r="Y5" s="1086"/>
      <c r="Z5" s="1086"/>
      <c r="AA5" s="1086"/>
      <c r="AB5" s="1086"/>
    </row>
    <row r="6" spans="1:28" ht="22.5" customHeight="1">
      <c r="A6" s="845"/>
      <c r="B6" s="1086"/>
      <c r="C6" s="1086"/>
      <c r="D6" s="1086"/>
      <c r="E6" s="1086" t="s">
        <v>190</v>
      </c>
      <c r="F6" s="1086" t="s">
        <v>191</v>
      </c>
      <c r="G6" s="1086" t="s">
        <v>190</v>
      </c>
      <c r="H6" s="1086" t="s">
        <v>192</v>
      </c>
      <c r="I6" s="1086" t="s">
        <v>87</v>
      </c>
      <c r="J6" s="158" t="s">
        <v>84</v>
      </c>
      <c r="K6" s="1086" t="s">
        <v>85</v>
      </c>
      <c r="L6" s="1086"/>
      <c r="M6" s="1086"/>
      <c r="N6" s="1086" t="s">
        <v>87</v>
      </c>
      <c r="O6" s="158" t="s">
        <v>84</v>
      </c>
      <c r="P6" s="1086" t="s">
        <v>85</v>
      </c>
      <c r="Q6" s="1086"/>
      <c r="R6" s="1086"/>
      <c r="S6" s="1086" t="s">
        <v>87</v>
      </c>
      <c r="T6" s="158" t="s">
        <v>84</v>
      </c>
      <c r="U6" s="1086" t="s">
        <v>85</v>
      </c>
      <c r="V6" s="1086"/>
      <c r="W6" s="1086"/>
      <c r="X6" s="1086" t="s">
        <v>87</v>
      </c>
      <c r="Y6" s="158" t="s">
        <v>84</v>
      </c>
      <c r="Z6" s="1086" t="s">
        <v>85</v>
      </c>
      <c r="AA6" s="1086"/>
      <c r="AB6" s="1086"/>
    </row>
    <row r="7" spans="1:28" ht="36" customHeight="1">
      <c r="A7" s="845"/>
      <c r="B7" s="1086"/>
      <c r="C7" s="1086"/>
      <c r="D7" s="1086"/>
      <c r="E7" s="1086"/>
      <c r="F7" s="1086"/>
      <c r="G7" s="1086"/>
      <c r="H7" s="1086"/>
      <c r="I7" s="1086"/>
      <c r="J7" s="158" t="s">
        <v>91</v>
      </c>
      <c r="K7" s="158" t="s">
        <v>89</v>
      </c>
      <c r="L7" s="158" t="s">
        <v>90</v>
      </c>
      <c r="M7" s="158" t="s">
        <v>91</v>
      </c>
      <c r="N7" s="1086"/>
      <c r="O7" s="158" t="s">
        <v>91</v>
      </c>
      <c r="P7" s="158" t="s">
        <v>89</v>
      </c>
      <c r="Q7" s="158" t="s">
        <v>90</v>
      </c>
      <c r="R7" s="158" t="s">
        <v>91</v>
      </c>
      <c r="S7" s="1086"/>
      <c r="T7" s="158" t="s">
        <v>91</v>
      </c>
      <c r="U7" s="158" t="s">
        <v>89</v>
      </c>
      <c r="V7" s="158" t="s">
        <v>90</v>
      </c>
      <c r="W7" s="158" t="s">
        <v>91</v>
      </c>
      <c r="X7" s="1086"/>
      <c r="Y7" s="158" t="s">
        <v>91</v>
      </c>
      <c r="Z7" s="158" t="s">
        <v>89</v>
      </c>
      <c r="AA7" s="158" t="s">
        <v>90</v>
      </c>
      <c r="AB7" s="158" t="s">
        <v>91</v>
      </c>
    </row>
    <row r="8" spans="1:28" ht="15" customHeight="1">
      <c r="A8" s="40"/>
      <c r="B8" s="158" t="s">
        <v>89</v>
      </c>
      <c r="C8" s="158"/>
      <c r="D8" s="158"/>
      <c r="E8" s="737">
        <f>SUM(E9:E11)</f>
        <v>0</v>
      </c>
      <c r="F8" s="737">
        <f>SUM(F9:F11)</f>
        <v>0</v>
      </c>
      <c r="G8" s="737">
        <f>SUM(G9:G11)</f>
        <v>0</v>
      </c>
      <c r="H8" s="737">
        <f>SUM(H9:H11)</f>
        <v>0</v>
      </c>
      <c r="I8" s="737">
        <f>SUM(I9:I11)</f>
        <v>0</v>
      </c>
      <c r="J8" s="738"/>
      <c r="K8" s="738"/>
      <c r="L8" s="738"/>
      <c r="M8" s="738"/>
      <c r="N8" s="737">
        <f>SUM(N9:N11)</f>
        <v>0</v>
      </c>
      <c r="O8" s="738"/>
      <c r="P8" s="738"/>
      <c r="Q8" s="738"/>
      <c r="R8" s="738"/>
      <c r="S8" s="737">
        <f>SUM(S9:S11)</f>
        <v>0</v>
      </c>
      <c r="T8" s="738"/>
      <c r="U8" s="738"/>
      <c r="V8" s="738"/>
      <c r="W8" s="738"/>
      <c r="X8" s="737">
        <f>SUM(X9:X11)</f>
        <v>0</v>
      </c>
      <c r="Y8" s="738"/>
      <c r="Z8" s="738"/>
      <c r="AA8" s="738"/>
      <c r="AB8" s="738"/>
    </row>
    <row r="9" spans="1:28" ht="8.25" customHeight="1" hidden="1">
      <c r="A9" s="40"/>
      <c r="B9" s="158"/>
      <c r="C9" s="158"/>
      <c r="D9" s="158"/>
      <c r="E9" s="738"/>
      <c r="F9" s="738"/>
      <c r="G9" s="738"/>
      <c r="H9" s="738"/>
      <c r="I9" s="738"/>
      <c r="J9" s="738"/>
      <c r="K9" s="738"/>
      <c r="L9" s="738"/>
      <c r="M9" s="738"/>
      <c r="N9" s="739"/>
      <c r="O9" s="738"/>
      <c r="P9" s="738"/>
      <c r="Q9" s="738"/>
      <c r="R9" s="738"/>
      <c r="S9" s="739"/>
      <c r="T9" s="738"/>
      <c r="U9" s="738"/>
      <c r="V9" s="738"/>
      <c r="W9" s="738"/>
      <c r="X9" s="738"/>
      <c r="Y9" s="738"/>
      <c r="Z9" s="738"/>
      <c r="AA9" s="738"/>
      <c r="AB9" s="738"/>
    </row>
    <row r="10" spans="1:28" ht="12.75">
      <c r="A10" s="159" t="s">
        <v>50</v>
      </c>
      <c r="B10" s="142" t="s">
        <v>74</v>
      </c>
      <c r="C10" s="142"/>
      <c r="D10" s="142"/>
      <c r="E10" s="201"/>
      <c r="F10" s="201"/>
      <c r="G10" s="201"/>
      <c r="H10" s="201"/>
      <c r="I10" s="164">
        <f>K10+J10</f>
        <v>0</v>
      </c>
      <c r="J10" s="201"/>
      <c r="K10" s="164">
        <f>L10+M10</f>
        <v>0</v>
      </c>
      <c r="L10" s="201"/>
      <c r="M10" s="201"/>
      <c r="N10" s="164">
        <f>O10+P10</f>
        <v>0</v>
      </c>
      <c r="O10" s="201"/>
      <c r="P10" s="164">
        <f>Q10+R10</f>
        <v>0</v>
      </c>
      <c r="Q10" s="201"/>
      <c r="R10" s="201"/>
      <c r="S10" s="164">
        <f>T10+U10</f>
        <v>0</v>
      </c>
      <c r="T10" s="201"/>
      <c r="U10" s="164">
        <f>V10+W10</f>
        <v>0</v>
      </c>
      <c r="V10" s="201"/>
      <c r="W10" s="201"/>
      <c r="X10" s="164">
        <f>Y10+Z10</f>
        <v>0</v>
      </c>
      <c r="Y10" s="201"/>
      <c r="Z10" s="164">
        <f>AA10+AB10</f>
        <v>0</v>
      </c>
      <c r="AA10" s="201"/>
      <c r="AB10" s="201"/>
    </row>
    <row r="11" spans="1:28" s="68" customFormat="1" ht="12.75">
      <c r="A11" s="1093" t="s">
        <v>335</v>
      </c>
      <c r="B11" s="1094"/>
      <c r="C11" s="1094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  <c r="R11" s="1094"/>
      <c r="S11" s="1094"/>
      <c r="T11" s="1094"/>
      <c r="U11" s="1094"/>
      <c r="V11" s="1094"/>
      <c r="W11" s="1094"/>
      <c r="X11" s="1094"/>
      <c r="Y11" s="1094"/>
      <c r="Z11" s="1094"/>
      <c r="AA11" s="1094"/>
      <c r="AB11" s="1095"/>
    </row>
    <row r="15" spans="2:15" ht="12.75">
      <c r="B15" s="839" t="s">
        <v>253</v>
      </c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160"/>
      <c r="N15" s="160"/>
      <c r="O15" s="160"/>
    </row>
    <row r="19" spans="1:14" s="81" customFormat="1" ht="13.5" customHeight="1">
      <c r="A19" s="1077" t="s">
        <v>428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27"/>
      <c r="L19" s="27"/>
      <c r="M19" s="27"/>
      <c r="N19" s="27"/>
    </row>
    <row r="20" spans="1:11" s="81" customFormat="1" ht="12.75" customHeight="1">
      <c r="A20" s="980" t="s">
        <v>429</v>
      </c>
      <c r="B20" s="980"/>
      <c r="C20" s="980"/>
      <c r="D20" s="980"/>
      <c r="E20" s="980"/>
      <c r="F20" s="980"/>
      <c r="G20" s="980"/>
      <c r="H20" s="980"/>
      <c r="I20" s="980"/>
      <c r="J20" s="980"/>
      <c r="K20" s="15"/>
    </row>
  </sheetData>
  <sheetProtection password="C8D1" sheet="1" scenarios="1" formatRows="0"/>
  <mergeCells count="33">
    <mergeCell ref="A11:AB11"/>
    <mergeCell ref="F6:F7"/>
    <mergeCell ref="G4:H5"/>
    <mergeCell ref="U6:W6"/>
    <mergeCell ref="A5:A7"/>
    <mergeCell ref="I4:R4"/>
    <mergeCell ref="A20:J20"/>
    <mergeCell ref="I5:M5"/>
    <mergeCell ref="N5:R5"/>
    <mergeCell ref="K6:M6"/>
    <mergeCell ref="P6:R6"/>
    <mergeCell ref="G6:G7"/>
    <mergeCell ref="A19:J19"/>
    <mergeCell ref="B15:L15"/>
    <mergeCell ref="E6:E7"/>
    <mergeCell ref="I6:I7"/>
    <mergeCell ref="A2:AB2"/>
    <mergeCell ref="B4:B7"/>
    <mergeCell ref="C4:C7"/>
    <mergeCell ref="R3:S3"/>
    <mergeCell ref="E4:F5"/>
    <mergeCell ref="N6:N7"/>
    <mergeCell ref="X6:X7"/>
    <mergeCell ref="A1:U1"/>
    <mergeCell ref="H6:H7"/>
    <mergeCell ref="D4:D7"/>
    <mergeCell ref="S6:S7"/>
    <mergeCell ref="S5:W5"/>
    <mergeCell ref="V1:AB1"/>
    <mergeCell ref="X5:AB5"/>
    <mergeCell ref="S4:AB4"/>
    <mergeCell ref="W3:AB3"/>
    <mergeCell ref="Z6:AB6"/>
  </mergeCells>
  <hyperlinks>
    <hyperlink ref="A11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_kr"/>
  <dimension ref="A1:AB17"/>
  <sheetViews>
    <sheetView zoomScalePageLayoutView="0" workbookViewId="0" topLeftCell="F1">
      <selection activeCell="B10" sqref="B10"/>
    </sheetView>
  </sheetViews>
  <sheetFormatPr defaultColWidth="9.140625" defaultRowHeight="12.75"/>
  <cols>
    <col min="1" max="1" width="3.8515625" style="27" customWidth="1"/>
    <col min="2" max="2" width="19.28125" style="27" customWidth="1"/>
    <col min="3" max="3" width="20.57421875" style="27" customWidth="1"/>
    <col min="4" max="4" width="13.00390625" style="27" customWidth="1"/>
    <col min="5" max="5" width="9.00390625" style="27" customWidth="1"/>
    <col min="6" max="6" width="9.28125" style="27" customWidth="1"/>
    <col min="7" max="7" width="10.140625" style="27" customWidth="1"/>
    <col min="8" max="8" width="9.140625" style="27" customWidth="1"/>
    <col min="9" max="9" width="9.8515625" style="27" customWidth="1"/>
    <col min="10" max="10" width="12.57421875" style="27" customWidth="1"/>
    <col min="11" max="11" width="9.140625" style="27" customWidth="1"/>
    <col min="12" max="12" width="12.28125" style="27" customWidth="1"/>
    <col min="13" max="13" width="12.140625" style="27" customWidth="1"/>
    <col min="14" max="14" width="9.140625" style="27" customWidth="1"/>
    <col min="15" max="15" width="12.140625" style="27" customWidth="1"/>
    <col min="16" max="16" width="9.140625" style="27" customWidth="1"/>
    <col min="17" max="17" width="11.7109375" style="27" customWidth="1"/>
    <col min="18" max="18" width="12.7109375" style="27" customWidth="1"/>
    <col min="19" max="19" width="9.140625" style="27" customWidth="1"/>
    <col min="20" max="20" width="12.28125" style="27" customWidth="1"/>
    <col min="21" max="21" width="9.140625" style="27" customWidth="1"/>
    <col min="22" max="22" width="11.57421875" style="27" customWidth="1"/>
    <col min="23" max="23" width="12.140625" style="27" customWidth="1"/>
    <col min="24" max="24" width="9.140625" style="27" customWidth="1"/>
    <col min="25" max="25" width="12.28125" style="27" customWidth="1"/>
    <col min="26" max="27" width="9.140625" style="27" customWidth="1"/>
    <col min="28" max="28" width="12.421875" style="27" customWidth="1"/>
    <col min="29" max="16384" width="9.140625" style="27" customWidth="1"/>
  </cols>
  <sheetData>
    <row r="1" spans="1:25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</row>
    <row r="2" spans="1:25" ht="12.75">
      <c r="A2" s="1080" t="s">
        <v>215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</row>
    <row r="3" spans="1:25" ht="12.75">
      <c r="A3" s="156" t="s">
        <v>214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088"/>
      <c r="U3" s="1088"/>
      <c r="V3" s="1088"/>
      <c r="W3" s="1088"/>
      <c r="X3" s="1088"/>
      <c r="Y3" s="1088"/>
    </row>
    <row r="4" spans="1:28" ht="27.75" customHeight="1">
      <c r="A4" s="161"/>
      <c r="B4" s="1086" t="s">
        <v>82</v>
      </c>
      <c r="C4" s="1086" t="s">
        <v>83</v>
      </c>
      <c r="D4" s="1086" t="s">
        <v>3</v>
      </c>
      <c r="E4" s="1089">
        <f>factYear</f>
        <v>2017</v>
      </c>
      <c r="F4" s="1090"/>
      <c r="G4" s="1089">
        <f>currYear</f>
        <v>2018</v>
      </c>
      <c r="H4" s="1090"/>
      <c r="I4" s="1087" t="str">
        <f>Заголовок!D17</f>
        <v>01.01.2019-30.06.2019</v>
      </c>
      <c r="J4" s="1096"/>
      <c r="K4" s="1096"/>
      <c r="L4" s="1096"/>
      <c r="M4" s="1096"/>
      <c r="N4" s="1096"/>
      <c r="O4" s="1096"/>
      <c r="P4" s="1096"/>
      <c r="Q4" s="1096"/>
      <c r="R4" s="1096"/>
      <c r="S4" s="1087" t="str">
        <f>Заголовок!E17</f>
        <v>01.07.2019-31.12.2019</v>
      </c>
      <c r="T4" s="1005"/>
      <c r="U4" s="1005"/>
      <c r="V4" s="1005"/>
      <c r="W4" s="1005"/>
      <c r="X4" s="1005"/>
      <c r="Y4" s="1005"/>
      <c r="Z4" s="1005"/>
      <c r="AA4" s="1005"/>
      <c r="AB4" s="1005"/>
    </row>
    <row r="5" spans="1:28" ht="21.75" customHeight="1">
      <c r="A5" s="1026" t="s">
        <v>5</v>
      </c>
      <c r="B5" s="1086"/>
      <c r="C5" s="1086"/>
      <c r="D5" s="1086"/>
      <c r="E5" s="1091"/>
      <c r="F5" s="1092"/>
      <c r="G5" s="1091"/>
      <c r="H5" s="1092"/>
      <c r="I5" s="1086" t="s">
        <v>86</v>
      </c>
      <c r="J5" s="1086"/>
      <c r="K5" s="1086"/>
      <c r="L5" s="1086"/>
      <c r="M5" s="1086"/>
      <c r="N5" s="1086" t="s">
        <v>88</v>
      </c>
      <c r="O5" s="1086"/>
      <c r="P5" s="1086"/>
      <c r="Q5" s="1086"/>
      <c r="R5" s="1086"/>
      <c r="S5" s="1086" t="s">
        <v>86</v>
      </c>
      <c r="T5" s="1086"/>
      <c r="U5" s="1086"/>
      <c r="V5" s="1086"/>
      <c r="W5" s="1086"/>
      <c r="X5" s="1086" t="s">
        <v>88</v>
      </c>
      <c r="Y5" s="1086"/>
      <c r="Z5" s="1086"/>
      <c r="AA5" s="1086"/>
      <c r="AB5" s="1086"/>
    </row>
    <row r="6" spans="1:28" ht="12.75">
      <c r="A6" s="1026"/>
      <c r="B6" s="1086"/>
      <c r="C6" s="1086"/>
      <c r="D6" s="1086"/>
      <c r="E6" s="1086" t="s">
        <v>190</v>
      </c>
      <c r="F6" s="1086" t="s">
        <v>191</v>
      </c>
      <c r="G6" s="1086" t="s">
        <v>190</v>
      </c>
      <c r="H6" s="1086" t="s">
        <v>192</v>
      </c>
      <c r="I6" s="1086" t="s">
        <v>87</v>
      </c>
      <c r="J6" s="158" t="s">
        <v>84</v>
      </c>
      <c r="K6" s="1086" t="s">
        <v>85</v>
      </c>
      <c r="L6" s="1086"/>
      <c r="M6" s="1086"/>
      <c r="N6" s="1086" t="s">
        <v>87</v>
      </c>
      <c r="O6" s="158" t="s">
        <v>84</v>
      </c>
      <c r="P6" s="1086" t="s">
        <v>85</v>
      </c>
      <c r="Q6" s="1086"/>
      <c r="R6" s="1086"/>
      <c r="S6" s="1086" t="s">
        <v>87</v>
      </c>
      <c r="T6" s="158" t="s">
        <v>84</v>
      </c>
      <c r="U6" s="1086" t="s">
        <v>85</v>
      </c>
      <c r="V6" s="1086"/>
      <c r="W6" s="1086"/>
      <c r="X6" s="1086" t="s">
        <v>87</v>
      </c>
      <c r="Y6" s="158" t="s">
        <v>84</v>
      </c>
      <c r="Z6" s="1086" t="s">
        <v>85</v>
      </c>
      <c r="AA6" s="1086"/>
      <c r="AB6" s="1086"/>
    </row>
    <row r="7" spans="1:28" ht="22.5">
      <c r="A7" s="1026"/>
      <c r="B7" s="1086"/>
      <c r="C7" s="1086"/>
      <c r="D7" s="1086"/>
      <c r="E7" s="1086"/>
      <c r="F7" s="1086"/>
      <c r="G7" s="1086"/>
      <c r="H7" s="1086"/>
      <c r="I7" s="1086"/>
      <c r="J7" s="158" t="s">
        <v>91</v>
      </c>
      <c r="K7" s="158" t="s">
        <v>89</v>
      </c>
      <c r="L7" s="158" t="s">
        <v>90</v>
      </c>
      <c r="M7" s="158" t="s">
        <v>91</v>
      </c>
      <c r="N7" s="1086"/>
      <c r="O7" s="158" t="s">
        <v>91</v>
      </c>
      <c r="P7" s="158" t="s">
        <v>89</v>
      </c>
      <c r="Q7" s="158" t="s">
        <v>90</v>
      </c>
      <c r="R7" s="158" t="s">
        <v>91</v>
      </c>
      <c r="S7" s="1086"/>
      <c r="T7" s="158" t="s">
        <v>91</v>
      </c>
      <c r="U7" s="158" t="s">
        <v>89</v>
      </c>
      <c r="V7" s="158" t="s">
        <v>90</v>
      </c>
      <c r="W7" s="158" t="s">
        <v>91</v>
      </c>
      <c r="X7" s="1086"/>
      <c r="Y7" s="158" t="s">
        <v>91</v>
      </c>
      <c r="Z7" s="158" t="s">
        <v>89</v>
      </c>
      <c r="AA7" s="158" t="s">
        <v>90</v>
      </c>
      <c r="AB7" s="158" t="s">
        <v>91</v>
      </c>
    </row>
    <row r="8" spans="1:28" ht="15" customHeight="1">
      <c r="A8" s="108"/>
      <c r="B8" s="158" t="s">
        <v>89</v>
      </c>
      <c r="C8" s="158"/>
      <c r="D8" s="158"/>
      <c r="E8" s="737">
        <f>SUM(E9:E11)</f>
        <v>0</v>
      </c>
      <c r="F8" s="737">
        <f>SUM(F9:F11)</f>
        <v>0</v>
      </c>
      <c r="G8" s="737">
        <f>SUM(G9:G11)</f>
        <v>0</v>
      </c>
      <c r="H8" s="737">
        <f>SUM(H9:H11)</f>
        <v>0</v>
      </c>
      <c r="I8" s="737">
        <f>SUM(I9:I11)</f>
        <v>0</v>
      </c>
      <c r="J8" s="738"/>
      <c r="K8" s="738"/>
      <c r="L8" s="738"/>
      <c r="M8" s="738"/>
      <c r="N8" s="737">
        <f>SUM(N9:N11)</f>
        <v>0</v>
      </c>
      <c r="O8" s="738"/>
      <c r="P8" s="738"/>
      <c r="Q8" s="738"/>
      <c r="R8" s="738"/>
      <c r="S8" s="737">
        <f>SUM(S9:S11)</f>
        <v>0</v>
      </c>
      <c r="T8" s="738"/>
      <c r="U8" s="738"/>
      <c r="V8" s="738"/>
      <c r="W8" s="738"/>
      <c r="X8" s="737">
        <f>SUM(X9:X11)</f>
        <v>0</v>
      </c>
      <c r="Y8" s="738"/>
      <c r="Z8" s="738"/>
      <c r="AA8" s="738"/>
      <c r="AB8" s="738"/>
    </row>
    <row r="9" spans="1:28" ht="8.25" customHeight="1" hidden="1">
      <c r="A9" s="108"/>
      <c r="B9" s="158"/>
      <c r="C9" s="158"/>
      <c r="D9" s="158"/>
      <c r="E9" s="740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</row>
    <row r="10" spans="1:28" ht="12.75">
      <c r="A10" s="159" t="s">
        <v>50</v>
      </c>
      <c r="B10" s="142" t="s">
        <v>74</v>
      </c>
      <c r="C10" s="142"/>
      <c r="D10" s="142"/>
      <c r="E10" s="201"/>
      <c r="F10" s="201"/>
      <c r="G10" s="201"/>
      <c r="H10" s="201"/>
      <c r="I10" s="164">
        <f>K10+J10</f>
        <v>0</v>
      </c>
      <c r="J10" s="201"/>
      <c r="K10" s="164">
        <f>L10+M10</f>
        <v>0</v>
      </c>
      <c r="L10" s="201"/>
      <c r="M10" s="201"/>
      <c r="N10" s="164">
        <f>O10+P10</f>
        <v>0</v>
      </c>
      <c r="O10" s="201"/>
      <c r="P10" s="164">
        <f>Q10+R10</f>
        <v>0</v>
      </c>
      <c r="Q10" s="201"/>
      <c r="R10" s="201"/>
      <c r="S10" s="164">
        <f>T10+U10</f>
        <v>0</v>
      </c>
      <c r="T10" s="201"/>
      <c r="U10" s="164">
        <f>V10+W10</f>
        <v>0</v>
      </c>
      <c r="V10" s="201"/>
      <c r="W10" s="201"/>
      <c r="X10" s="164">
        <f>Y10+Z10</f>
        <v>0</v>
      </c>
      <c r="Y10" s="201"/>
      <c r="Z10" s="164">
        <f>AA10+AB10</f>
        <v>0</v>
      </c>
      <c r="AA10" s="201"/>
      <c r="AB10" s="201"/>
    </row>
    <row r="11" spans="1:28" s="68" customFormat="1" ht="12.75">
      <c r="A11" s="1093" t="s">
        <v>335</v>
      </c>
      <c r="B11" s="1094"/>
      <c r="C11" s="1094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  <c r="R11" s="1094"/>
      <c r="S11" s="1094"/>
      <c r="T11" s="1094"/>
      <c r="U11" s="1094"/>
      <c r="V11" s="1094"/>
      <c r="W11" s="1094"/>
      <c r="X11" s="1094"/>
      <c r="Y11" s="1094"/>
      <c r="Z11" s="1094"/>
      <c r="AA11" s="1094"/>
      <c r="AB11" s="1095"/>
    </row>
    <row r="16" spans="1:14" s="81" customFormat="1" ht="13.5" customHeight="1">
      <c r="A16" s="1077" t="s">
        <v>428</v>
      </c>
      <c r="B16" s="1077"/>
      <c r="C16" s="1077"/>
      <c r="D16" s="1077"/>
      <c r="E16" s="1077"/>
      <c r="F16" s="1077"/>
      <c r="G16" s="1077"/>
      <c r="H16" s="1077"/>
      <c r="I16" s="1077"/>
      <c r="J16" s="1077"/>
      <c r="K16" s="27"/>
      <c r="L16" s="27"/>
      <c r="M16" s="27"/>
      <c r="N16" s="27"/>
    </row>
    <row r="17" spans="1:11" s="81" customFormat="1" ht="12.75" customHeight="1">
      <c r="A17" s="980" t="s">
        <v>429</v>
      </c>
      <c r="B17" s="980"/>
      <c r="C17" s="980"/>
      <c r="D17" s="980"/>
      <c r="E17" s="980"/>
      <c r="F17" s="980"/>
      <c r="G17" s="980"/>
      <c r="H17" s="980"/>
      <c r="I17" s="980"/>
      <c r="J17" s="980"/>
      <c r="K17" s="15"/>
    </row>
  </sheetData>
  <sheetProtection password="C8D1" sheet="1" scenarios="1" formatRows="0"/>
  <mergeCells count="30">
    <mergeCell ref="A11:AB11"/>
    <mergeCell ref="K6:M6"/>
    <mergeCell ref="P6:R6"/>
    <mergeCell ref="A5:A7"/>
    <mergeCell ref="I5:M5"/>
    <mergeCell ref="B4:B7"/>
    <mergeCell ref="C4:C7"/>
    <mergeCell ref="D4:D7"/>
    <mergeCell ref="E6:E7"/>
    <mergeCell ref="G6:G7"/>
    <mergeCell ref="A17:J17"/>
    <mergeCell ref="A2:Y2"/>
    <mergeCell ref="T3:Y3"/>
    <mergeCell ref="F6:F7"/>
    <mergeCell ref="E4:F5"/>
    <mergeCell ref="N5:R5"/>
    <mergeCell ref="A16:J16"/>
    <mergeCell ref="S5:W5"/>
    <mergeCell ref="X5:AB5"/>
    <mergeCell ref="Z6:AB6"/>
    <mergeCell ref="S4:AB4"/>
    <mergeCell ref="S6:S7"/>
    <mergeCell ref="U6:W6"/>
    <mergeCell ref="X6:X7"/>
    <mergeCell ref="A1:Y1"/>
    <mergeCell ref="I6:I7"/>
    <mergeCell ref="N6:N7"/>
    <mergeCell ref="H6:H7"/>
    <mergeCell ref="G4:H5"/>
    <mergeCell ref="I4:R4"/>
  </mergeCells>
  <hyperlinks>
    <hyperlink ref="A11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_of"/>
  <dimension ref="A1:AH33"/>
  <sheetViews>
    <sheetView zoomScale="90" zoomScaleNormal="90" zoomScalePageLayoutView="0" workbookViewId="0" topLeftCell="A1">
      <selection activeCell="Q19" sqref="Q19"/>
    </sheetView>
  </sheetViews>
  <sheetFormatPr defaultColWidth="9.140625" defaultRowHeight="12.75"/>
  <cols>
    <col min="1" max="1" width="7.8515625" style="27" customWidth="1"/>
    <col min="2" max="2" width="31.28125" style="27" customWidth="1"/>
    <col min="3" max="3" width="12.421875" style="27" customWidth="1"/>
    <col min="4" max="4" width="12.28125" style="27" customWidth="1"/>
    <col min="5" max="5" width="9.140625" style="27" customWidth="1"/>
    <col min="6" max="6" width="12.7109375" style="27" customWidth="1"/>
    <col min="7" max="7" width="13.57421875" style="27" customWidth="1"/>
    <col min="8" max="8" width="12.28125" style="27" customWidth="1"/>
    <col min="9" max="9" width="12.00390625" style="27" customWidth="1"/>
    <col min="10" max="19" width="16.7109375" style="27" customWidth="1"/>
    <col min="20" max="16384" width="9.140625" style="27" customWidth="1"/>
  </cols>
  <sheetData>
    <row r="1" spans="1:19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27" t="s">
        <v>439</v>
      </c>
    </row>
    <row r="2" spans="1:19" ht="12.75">
      <c r="A2" s="1070" t="s">
        <v>73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3" spans="1:21" ht="27.75" customHeight="1">
      <c r="A3" s="1097" t="s">
        <v>288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33"/>
      <c r="T3" s="133"/>
      <c r="U3" s="133"/>
    </row>
    <row r="4" spans="1:21" ht="22.5" customHeight="1">
      <c r="A4" s="845" t="s">
        <v>5</v>
      </c>
      <c r="B4" s="845" t="s">
        <v>6</v>
      </c>
      <c r="C4" s="845" t="s">
        <v>66</v>
      </c>
      <c r="D4" s="845" t="s">
        <v>67</v>
      </c>
      <c r="E4" s="845" t="s">
        <v>3</v>
      </c>
      <c r="F4" s="845" t="s">
        <v>68</v>
      </c>
      <c r="G4" s="845" t="s">
        <v>69</v>
      </c>
      <c r="H4" s="845" t="s">
        <v>70</v>
      </c>
      <c r="I4" s="845" t="s">
        <v>71</v>
      </c>
      <c r="J4" s="845" t="s">
        <v>572</v>
      </c>
      <c r="K4" s="845"/>
      <c r="L4" s="845" t="s">
        <v>572</v>
      </c>
      <c r="M4" s="845"/>
      <c r="N4" s="845" t="s">
        <v>572</v>
      </c>
      <c r="O4" s="845"/>
      <c r="P4" s="845" t="s">
        <v>572</v>
      </c>
      <c r="Q4" s="845"/>
      <c r="R4" s="845" t="s">
        <v>572</v>
      </c>
      <c r="S4" s="845"/>
      <c r="T4" s="29"/>
      <c r="U4" s="29"/>
    </row>
    <row r="5" spans="1:21" ht="22.5" customHeight="1">
      <c r="A5" s="845"/>
      <c r="B5" s="845"/>
      <c r="C5" s="845"/>
      <c r="D5" s="845"/>
      <c r="E5" s="845"/>
      <c r="F5" s="845"/>
      <c r="G5" s="845"/>
      <c r="H5" s="845"/>
      <c r="I5" s="845"/>
      <c r="J5" s="1099" t="str">
        <f>year1</f>
        <v>2019</v>
      </c>
      <c r="K5" s="1100"/>
      <c r="L5" s="1099">
        <f>year2</f>
        <v>2020</v>
      </c>
      <c r="M5" s="1100"/>
      <c r="N5" s="1099">
        <f>year3</f>
        <v>2021</v>
      </c>
      <c r="O5" s="1101"/>
      <c r="P5" s="1101">
        <f>year4</f>
        <v>2022</v>
      </c>
      <c r="Q5" s="1100"/>
      <c r="R5" s="1099">
        <f>year5</f>
        <v>2023</v>
      </c>
      <c r="S5" s="1100"/>
      <c r="T5" s="29"/>
      <c r="U5" s="29"/>
    </row>
    <row r="6" spans="1:2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40" t="s">
        <v>72</v>
      </c>
      <c r="K6" s="40" t="s">
        <v>49</v>
      </c>
      <c r="L6" s="40" t="s">
        <v>72</v>
      </c>
      <c r="M6" s="40" t="s">
        <v>49</v>
      </c>
      <c r="N6" s="40" t="s">
        <v>72</v>
      </c>
      <c r="O6" s="40" t="s">
        <v>49</v>
      </c>
      <c r="P6" s="40" t="s">
        <v>72</v>
      </c>
      <c r="Q6" s="40" t="s">
        <v>49</v>
      </c>
      <c r="R6" s="40" t="s">
        <v>72</v>
      </c>
      <c r="S6" s="40" t="s">
        <v>49</v>
      </c>
      <c r="T6" s="29"/>
      <c r="U6" s="29"/>
    </row>
    <row r="7" spans="1:21" ht="12.75">
      <c r="A7" s="30" t="s">
        <v>50</v>
      </c>
      <c r="B7" s="56" t="s">
        <v>75</v>
      </c>
      <c r="C7" s="28"/>
      <c r="D7" s="164">
        <f>SUM(D8:D10)</f>
        <v>1358</v>
      </c>
      <c r="E7" s="741"/>
      <c r="F7" s="741"/>
      <c r="G7" s="741"/>
      <c r="H7" s="164">
        <f aca="true" t="shared" si="0" ref="H7:S7">SUM(H8:H10)</f>
        <v>986</v>
      </c>
      <c r="I7" s="164">
        <f t="shared" si="0"/>
        <v>372.9</v>
      </c>
      <c r="J7" s="164">
        <f t="shared" si="0"/>
        <v>16.31</v>
      </c>
      <c r="K7" s="164">
        <f t="shared" si="0"/>
        <v>0</v>
      </c>
      <c r="L7" s="164">
        <f t="shared" si="0"/>
        <v>16.31</v>
      </c>
      <c r="M7" s="164">
        <f t="shared" si="0"/>
        <v>0</v>
      </c>
      <c r="N7" s="164">
        <f t="shared" si="0"/>
        <v>16.31</v>
      </c>
      <c r="O7" s="164">
        <f t="shared" si="0"/>
        <v>0</v>
      </c>
      <c r="P7" s="164">
        <f t="shared" si="0"/>
        <v>16.31</v>
      </c>
      <c r="Q7" s="164">
        <f t="shared" si="0"/>
        <v>0</v>
      </c>
      <c r="R7" s="164">
        <f t="shared" si="0"/>
        <v>16.31</v>
      </c>
      <c r="S7" s="164">
        <f t="shared" si="0"/>
        <v>0</v>
      </c>
      <c r="T7" s="29"/>
      <c r="U7" s="29"/>
    </row>
    <row r="8" spans="1:21" ht="12.75" hidden="1">
      <c r="A8" s="155"/>
      <c r="B8" s="155"/>
      <c r="C8" s="155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29"/>
      <c r="U8" s="29"/>
    </row>
    <row r="9" spans="1:21" ht="12.75">
      <c r="A9" s="163" t="s">
        <v>10</v>
      </c>
      <c r="B9" s="142" t="s">
        <v>74</v>
      </c>
      <c r="C9" s="539"/>
      <c r="D9" s="201">
        <v>1358</v>
      </c>
      <c r="E9" s="201"/>
      <c r="F9" s="201"/>
      <c r="G9" s="201"/>
      <c r="H9" s="201">
        <v>986</v>
      </c>
      <c r="I9" s="201">
        <v>372.9</v>
      </c>
      <c r="J9" s="201">
        <v>16.31</v>
      </c>
      <c r="K9" s="201"/>
      <c r="L9" s="201">
        <v>16.31</v>
      </c>
      <c r="M9" s="201"/>
      <c r="N9" s="201">
        <v>16.31</v>
      </c>
      <c r="O9" s="201"/>
      <c r="P9" s="201">
        <v>16.31</v>
      </c>
      <c r="Q9" s="201"/>
      <c r="R9" s="201">
        <v>16.31</v>
      </c>
      <c r="S9" s="201"/>
      <c r="T9" s="29"/>
      <c r="U9" s="29"/>
    </row>
    <row r="10" spans="1:34" s="68" customFormat="1" ht="12.75">
      <c r="A10" s="1083" t="s">
        <v>335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  <c r="P10" s="1083"/>
      <c r="Q10" s="1083"/>
      <c r="R10" s="1083"/>
      <c r="S10" s="108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21" ht="12.75">
      <c r="A11" s="30" t="s">
        <v>54</v>
      </c>
      <c r="B11" s="56" t="s">
        <v>64</v>
      </c>
      <c r="C11" s="28"/>
      <c r="D11" s="164">
        <f>SUM(D12:D14)</f>
        <v>0</v>
      </c>
      <c r="E11" s="741"/>
      <c r="F11" s="741"/>
      <c r="G11" s="741"/>
      <c r="H11" s="164">
        <f aca="true" t="shared" si="1" ref="H11:S11">SUM(H12:H14)</f>
        <v>0</v>
      </c>
      <c r="I11" s="164">
        <f t="shared" si="1"/>
        <v>0</v>
      </c>
      <c r="J11" s="164">
        <f t="shared" si="1"/>
        <v>0</v>
      </c>
      <c r="K11" s="164">
        <f t="shared" si="1"/>
        <v>0</v>
      </c>
      <c r="L11" s="164">
        <f t="shared" si="1"/>
        <v>0</v>
      </c>
      <c r="M11" s="164">
        <f t="shared" si="1"/>
        <v>0</v>
      </c>
      <c r="N11" s="164">
        <f t="shared" si="1"/>
        <v>0</v>
      </c>
      <c r="O11" s="164">
        <f t="shared" si="1"/>
        <v>0</v>
      </c>
      <c r="P11" s="164">
        <f t="shared" si="1"/>
        <v>0</v>
      </c>
      <c r="Q11" s="164">
        <f t="shared" si="1"/>
        <v>0</v>
      </c>
      <c r="R11" s="164">
        <f t="shared" si="1"/>
        <v>0</v>
      </c>
      <c r="S11" s="164">
        <f t="shared" si="1"/>
        <v>0</v>
      </c>
      <c r="T11" s="29"/>
      <c r="U11" s="29"/>
    </row>
    <row r="12" spans="1:21" ht="12.75" hidden="1">
      <c r="A12" s="155"/>
      <c r="B12" s="155"/>
      <c r="C12" s="155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29"/>
      <c r="U12" s="29"/>
    </row>
    <row r="13" spans="1:21" ht="12.75">
      <c r="A13" s="163" t="s">
        <v>76</v>
      </c>
      <c r="B13" s="142" t="s">
        <v>74</v>
      </c>
      <c r="C13" s="539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9"/>
      <c r="U13" s="29"/>
    </row>
    <row r="14" spans="1:34" s="68" customFormat="1" ht="12.75">
      <c r="A14" s="1083" t="s">
        <v>335</v>
      </c>
      <c r="B14" s="1083"/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3"/>
      <c r="P14" s="1083"/>
      <c r="Q14" s="1083"/>
      <c r="R14" s="1083"/>
      <c r="S14" s="108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21" ht="12.75">
      <c r="A15" s="30" t="s">
        <v>57</v>
      </c>
      <c r="B15" s="56" t="s">
        <v>65</v>
      </c>
      <c r="C15" s="28"/>
      <c r="D15" s="164">
        <f>SUM(D16:D18)</f>
        <v>0</v>
      </c>
      <c r="E15" s="741"/>
      <c r="F15" s="741"/>
      <c r="G15" s="741"/>
      <c r="H15" s="164">
        <f aca="true" t="shared" si="2" ref="H15:S15">SUM(H16:H18)</f>
        <v>0</v>
      </c>
      <c r="I15" s="164">
        <f t="shared" si="2"/>
        <v>0</v>
      </c>
      <c r="J15" s="164">
        <f t="shared" si="2"/>
        <v>0</v>
      </c>
      <c r="K15" s="164">
        <f t="shared" si="2"/>
        <v>0</v>
      </c>
      <c r="L15" s="164">
        <f t="shared" si="2"/>
        <v>0</v>
      </c>
      <c r="M15" s="164">
        <f t="shared" si="2"/>
        <v>0</v>
      </c>
      <c r="N15" s="164">
        <f t="shared" si="2"/>
        <v>0</v>
      </c>
      <c r="O15" s="164">
        <f t="shared" si="2"/>
        <v>0</v>
      </c>
      <c r="P15" s="164">
        <f t="shared" si="2"/>
        <v>0</v>
      </c>
      <c r="Q15" s="164">
        <f t="shared" si="2"/>
        <v>0</v>
      </c>
      <c r="R15" s="164">
        <f t="shared" si="2"/>
        <v>0</v>
      </c>
      <c r="S15" s="164">
        <f t="shared" si="2"/>
        <v>0</v>
      </c>
      <c r="T15" s="29"/>
      <c r="U15" s="29"/>
    </row>
    <row r="16" spans="1:21" ht="12.75" hidden="1">
      <c r="A16" s="155"/>
      <c r="B16" s="155"/>
      <c r="C16" s="155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29"/>
      <c r="U16" s="29"/>
    </row>
    <row r="17" spans="1:21" ht="12.75">
      <c r="A17" s="163" t="s">
        <v>78</v>
      </c>
      <c r="B17" s="142" t="s">
        <v>74</v>
      </c>
      <c r="C17" s="539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9"/>
      <c r="U17" s="29"/>
    </row>
    <row r="18" spans="1:34" s="68" customFormat="1" ht="12.75">
      <c r="A18" s="1083" t="s">
        <v>335</v>
      </c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21" ht="12.75">
      <c r="A19" s="71"/>
      <c r="B19" s="7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29"/>
      <c r="U19" s="29"/>
    </row>
    <row r="20" spans="1:21" ht="12.75">
      <c r="A20" s="1098" t="s">
        <v>577</v>
      </c>
      <c r="B20" s="1098"/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8"/>
      <c r="N20" s="1098"/>
      <c r="O20" s="1098"/>
      <c r="P20" s="1098"/>
      <c r="Q20" s="1098"/>
      <c r="R20" s="1098"/>
      <c r="S20" s="1098"/>
      <c r="T20" s="29"/>
      <c r="U20" s="29"/>
    </row>
    <row r="21" spans="1:2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19" s="81" customFormat="1" ht="13.5" customHeight="1">
      <c r="A22" s="1077" t="s">
        <v>428</v>
      </c>
      <c r="B22" s="1077"/>
      <c r="C22" s="1077"/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1077"/>
      <c r="P22" s="1077"/>
      <c r="Q22" s="1077"/>
      <c r="R22" s="1077"/>
      <c r="S22" s="1077"/>
    </row>
    <row r="23" spans="1:19" s="81" customFormat="1" ht="12.75" customHeight="1">
      <c r="A23" s="980" t="s">
        <v>429</v>
      </c>
      <c r="B23" s="980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</row>
    <row r="24" spans="1:2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</sheetData>
  <sheetProtection password="C8D1" sheet="1" scenarios="1" formatRows="0"/>
  <mergeCells count="28">
    <mergeCell ref="A1:R1"/>
    <mergeCell ref="A2:S2"/>
    <mergeCell ref="D4:D6"/>
    <mergeCell ref="L4:M4"/>
    <mergeCell ref="A23:S23"/>
    <mergeCell ref="E4:E6"/>
    <mergeCell ref="F4:F6"/>
    <mergeCell ref="I4:I6"/>
    <mergeCell ref="J4:K4"/>
    <mergeCell ref="C4:C6"/>
    <mergeCell ref="R4:S4"/>
    <mergeCell ref="G4:G6"/>
    <mergeCell ref="A22:S22"/>
    <mergeCell ref="B4:B6"/>
    <mergeCell ref="A10:S10"/>
    <mergeCell ref="A4:A6"/>
    <mergeCell ref="N5:O5"/>
    <mergeCell ref="P5:Q5"/>
    <mergeCell ref="A3:R3"/>
    <mergeCell ref="A20:S20"/>
    <mergeCell ref="A14:S14"/>
    <mergeCell ref="A18:S18"/>
    <mergeCell ref="H4:H6"/>
    <mergeCell ref="J5:K5"/>
    <mergeCell ref="L5:M5"/>
    <mergeCell ref="R5:S5"/>
    <mergeCell ref="N4:O4"/>
    <mergeCell ref="P4:Q4"/>
  </mergeCells>
  <hyperlinks>
    <hyperlink ref="A10" tooltip="Кликните по гиперссылке для добавления новой строки" display="Добавить строки"/>
    <hyperlink ref="A14" tooltip="Кликните по гиперссылке для добавления новой строки" display="Добавить строки"/>
    <hyperlink ref="A18" tooltip="Кликните по гиперссылке для добавления новой строки" display="Добавить строки"/>
  </hyperlinks>
  <printOptions/>
  <pageMargins left="0.1968503937007874" right="0" top="0.984251968503937" bottom="0.984251968503937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50"/>
  <sheetViews>
    <sheetView view="pageBreakPreview" zoomScale="115" zoomScaleSheetLayoutView="115" zoomScalePageLayoutView="120" workbookViewId="0" topLeftCell="A34">
      <selection activeCell="A1" sqref="A1:F50"/>
    </sheetView>
  </sheetViews>
  <sheetFormatPr defaultColWidth="9.140625" defaultRowHeight="12.75"/>
  <cols>
    <col min="1" max="1" width="14.421875" style="0" customWidth="1"/>
    <col min="2" max="2" width="13.00390625" style="0" customWidth="1"/>
    <col min="3" max="3" width="12.28125" style="0" customWidth="1"/>
    <col min="4" max="4" width="14.8515625" style="0" customWidth="1"/>
    <col min="5" max="5" width="14.140625" style="0" customWidth="1"/>
    <col min="6" max="6" width="20.140625" style="0" customWidth="1"/>
  </cols>
  <sheetData>
    <row r="1" spans="1:6" ht="21.75" customHeight="1">
      <c r="A1" s="203"/>
      <c r="B1" s="203"/>
      <c r="C1" s="203"/>
      <c r="D1" s="203"/>
      <c r="E1" s="203"/>
      <c r="F1" s="203"/>
    </row>
    <row r="2" spans="1:6" ht="48" customHeight="1">
      <c r="A2" s="203"/>
      <c r="B2" s="203"/>
      <c r="C2" s="203"/>
      <c r="D2" s="203"/>
      <c r="E2" s="835" t="s">
        <v>447</v>
      </c>
      <c r="F2" s="835"/>
    </row>
    <row r="3" spans="1:6" ht="18.75">
      <c r="A3" s="203" t="s">
        <v>448</v>
      </c>
      <c r="B3" s="834" t="s">
        <v>449</v>
      </c>
      <c r="C3" s="834"/>
      <c r="D3" s="203"/>
      <c r="E3" s="835"/>
      <c r="F3" s="835"/>
    </row>
    <row r="4" spans="1:6" ht="18.75">
      <c r="A4" s="204" t="s">
        <v>450</v>
      </c>
      <c r="B4" s="203"/>
      <c r="C4" s="203"/>
      <c r="D4" s="203"/>
      <c r="E4" s="829" t="s">
        <v>451</v>
      </c>
      <c r="F4" s="829"/>
    </row>
    <row r="5" spans="1:6" ht="18.75">
      <c r="A5" s="203"/>
      <c r="B5" s="203"/>
      <c r="C5" s="203"/>
      <c r="D5" s="203"/>
      <c r="E5" s="203"/>
      <c r="F5" s="203"/>
    </row>
    <row r="6" spans="1:6" ht="18.75">
      <c r="A6" s="829" t="s">
        <v>452</v>
      </c>
      <c r="B6" s="829"/>
      <c r="C6" s="829"/>
      <c r="D6" s="829"/>
      <c r="E6" s="829"/>
      <c r="F6" s="829"/>
    </row>
    <row r="7" spans="1:6" ht="18.75">
      <c r="A7" s="829" t="s">
        <v>453</v>
      </c>
      <c r="B7" s="829"/>
      <c r="C7" s="829"/>
      <c r="D7" s="829"/>
      <c r="E7" s="829"/>
      <c r="F7" s="829"/>
    </row>
    <row r="8" spans="1:6" ht="15.75" customHeight="1">
      <c r="A8" s="820" t="s">
        <v>685</v>
      </c>
      <c r="B8" s="820"/>
      <c r="C8" s="820"/>
      <c r="D8" s="820"/>
      <c r="E8" s="820"/>
      <c r="F8" s="820"/>
    </row>
    <row r="9" spans="1:6" ht="15.75" customHeight="1">
      <c r="A9" s="833" t="s">
        <v>686</v>
      </c>
      <c r="B9" s="833"/>
      <c r="C9" s="833"/>
      <c r="D9" s="833"/>
      <c r="E9" s="833"/>
      <c r="F9" s="833"/>
    </row>
    <row r="10" spans="1:6" ht="15.75" customHeight="1">
      <c r="A10" s="820" t="s">
        <v>692</v>
      </c>
      <c r="B10" s="820"/>
      <c r="C10" s="820"/>
      <c r="D10" s="820"/>
      <c r="E10" s="820"/>
      <c r="F10" s="820"/>
    </row>
    <row r="11" spans="1:6" ht="12.75">
      <c r="A11" s="827" t="s">
        <v>691</v>
      </c>
      <c r="B11" s="827"/>
      <c r="C11" s="827"/>
      <c r="D11" s="827"/>
      <c r="E11" s="827"/>
      <c r="F11" s="827"/>
    </row>
    <row r="12" spans="1:6" ht="12.75">
      <c r="A12" s="825" t="s">
        <v>454</v>
      </c>
      <c r="B12" s="825"/>
      <c r="C12" s="825"/>
      <c r="D12" s="825"/>
      <c r="E12" s="825"/>
      <c r="F12" s="825"/>
    </row>
    <row r="13" spans="1:6" ht="16.5" customHeight="1">
      <c r="A13" s="825" t="s">
        <v>687</v>
      </c>
      <c r="B13" s="825"/>
      <c r="C13" s="825"/>
      <c r="D13" s="825"/>
      <c r="E13" s="825"/>
      <c r="F13" s="825"/>
    </row>
    <row r="14" spans="1:6" ht="12.75">
      <c r="A14" s="825" t="s">
        <v>694</v>
      </c>
      <c r="B14" s="825"/>
      <c r="C14" s="825"/>
      <c r="D14" s="825"/>
      <c r="E14" s="825"/>
      <c r="F14" s="825"/>
    </row>
    <row r="15" spans="1:6" ht="12.75">
      <c r="A15" s="825" t="s">
        <v>693</v>
      </c>
      <c r="B15" s="825"/>
      <c r="C15" s="825"/>
      <c r="D15" s="825"/>
      <c r="E15" s="825"/>
      <c r="F15" s="825"/>
    </row>
    <row r="16" spans="1:6" ht="12.75">
      <c r="A16" s="204"/>
      <c r="B16" s="204"/>
      <c r="C16" s="204" t="s">
        <v>695</v>
      </c>
      <c r="D16" s="802"/>
      <c r="E16" s="204"/>
      <c r="F16" s="204"/>
    </row>
    <row r="17" spans="1:6" ht="12.75">
      <c r="A17" s="825" t="s">
        <v>455</v>
      </c>
      <c r="B17" s="825"/>
      <c r="C17" s="825"/>
      <c r="D17" s="825"/>
      <c r="E17" s="825"/>
      <c r="F17" s="825"/>
    </row>
    <row r="18" spans="1:6" ht="12.75">
      <c r="A18" s="828" t="s">
        <v>456</v>
      </c>
      <c r="B18" s="828"/>
      <c r="C18" s="828"/>
      <c r="D18" s="828"/>
      <c r="E18" s="828"/>
      <c r="F18" s="828"/>
    </row>
    <row r="19" spans="1:6" ht="18.75">
      <c r="A19" s="206"/>
      <c r="B19" s="206"/>
      <c r="C19" s="206"/>
      <c r="D19" s="206"/>
      <c r="E19" s="206"/>
      <c r="F19" s="206"/>
    </row>
    <row r="20" spans="1:6" ht="18.75">
      <c r="A20" s="829" t="s">
        <v>457</v>
      </c>
      <c r="B20" s="829"/>
      <c r="C20" s="829"/>
      <c r="D20" s="829"/>
      <c r="E20" s="829"/>
      <c r="F20" s="829"/>
    </row>
    <row r="21" spans="1:6" ht="15.75">
      <c r="A21" s="830" t="s">
        <v>458</v>
      </c>
      <c r="B21" s="830"/>
      <c r="C21" s="830"/>
      <c r="D21" s="820" t="s">
        <v>684</v>
      </c>
      <c r="E21" s="820"/>
      <c r="F21" s="820"/>
    </row>
    <row r="22" spans="1:6" s="365" customFormat="1" ht="18.75">
      <c r="A22" s="364"/>
      <c r="B22" s="364"/>
      <c r="C22" s="364"/>
      <c r="D22" s="821" t="s">
        <v>459</v>
      </c>
      <c r="E22" s="821"/>
      <c r="F22" s="821"/>
    </row>
    <row r="23" spans="1:6" s="365" customFormat="1" ht="18.75">
      <c r="A23" s="826" t="s">
        <v>460</v>
      </c>
      <c r="B23" s="826"/>
      <c r="C23" s="826"/>
      <c r="D23" s="831" t="s">
        <v>696</v>
      </c>
      <c r="E23" s="832"/>
      <c r="F23" s="832"/>
    </row>
    <row r="24" spans="1:6" s="365" customFormat="1" ht="12.75" customHeight="1">
      <c r="A24" s="823" t="s">
        <v>461</v>
      </c>
      <c r="B24" s="823"/>
      <c r="C24" s="823"/>
      <c r="D24" s="823"/>
      <c r="E24" s="823"/>
      <c r="F24" s="823"/>
    </row>
    <row r="25" spans="1:6" s="365" customFormat="1" ht="8.25" customHeight="1">
      <c r="A25" s="824"/>
      <c r="B25" s="824"/>
      <c r="C25" s="824"/>
      <c r="D25" s="824"/>
      <c r="E25" s="824"/>
      <c r="F25" s="824"/>
    </row>
    <row r="26" spans="1:6" s="367" customFormat="1" ht="18" customHeight="1">
      <c r="A26" s="822" t="str">
        <f>"на период с 01.01."&amp;year1&amp;" по 30.06."&amp;year1&amp;" в размере ________________________(ед.изм.) "</f>
        <v>на период с 01.01.2019 по 30.06.2019 в размере ________________________(ед.изм.) </v>
      </c>
      <c r="B26" s="822"/>
      <c r="C26" s="822"/>
      <c r="D26" s="822"/>
      <c r="E26" s="822"/>
      <c r="F26" s="822"/>
    </row>
    <row r="27" spans="1:6" s="367" customFormat="1" ht="12.75">
      <c r="A27" s="368" t="s">
        <v>462</v>
      </c>
      <c r="B27" s="368"/>
      <c r="C27" s="368"/>
      <c r="D27" s="368"/>
      <c r="E27" s="819" t="s">
        <v>463</v>
      </c>
      <c r="F27" s="819"/>
    </row>
    <row r="28" spans="1:6" s="624" customFormat="1" ht="18" customHeight="1">
      <c r="A28" s="822" t="str">
        <f>"на период с 01.07."&amp;year1&amp;" по 31.12."&amp;year1&amp;" в размере ________________________(ед.изм.) "</f>
        <v>на период с 01.07.2019 по 31.12.2019 в размере ________________________(ед.изм.) </v>
      </c>
      <c r="B28" s="822"/>
      <c r="C28" s="822"/>
      <c r="D28" s="822"/>
      <c r="E28" s="822"/>
      <c r="F28" s="822"/>
    </row>
    <row r="29" spans="1:6" s="367" customFormat="1" ht="12.75">
      <c r="A29" s="368" t="s">
        <v>462</v>
      </c>
      <c r="B29" s="368"/>
      <c r="C29" s="368"/>
      <c r="D29" s="368"/>
      <c r="E29" s="819" t="s">
        <v>463</v>
      </c>
      <c r="F29" s="819"/>
    </row>
    <row r="30" spans="1:6" s="367" customFormat="1" ht="18" customHeight="1">
      <c r="A30" s="822" t="str">
        <f>"на период с 01.01."&amp;year2&amp;" по 30.06."&amp;year2&amp;" в размере ________________________(ед.изм.) "</f>
        <v>на период с 01.01.2020 по 30.06.2020 в размере ________________________(ед.изм.) </v>
      </c>
      <c r="B30" s="822"/>
      <c r="C30" s="822"/>
      <c r="D30" s="822"/>
      <c r="E30" s="822"/>
      <c r="F30" s="822"/>
    </row>
    <row r="31" spans="1:6" s="367" customFormat="1" ht="12.75">
      <c r="A31" s="368" t="s">
        <v>462</v>
      </c>
      <c r="B31" s="368"/>
      <c r="C31" s="368"/>
      <c r="D31" s="368"/>
      <c r="E31" s="819" t="s">
        <v>463</v>
      </c>
      <c r="F31" s="819"/>
    </row>
    <row r="32" spans="1:6" s="624" customFormat="1" ht="18" customHeight="1">
      <c r="A32" s="822" t="str">
        <f>"на период с 01.07."&amp;year2&amp;" по 31.12."&amp;year2&amp;" в размере ________________________(ед.изм.) "</f>
        <v>на период с 01.07.2020 по 31.12.2020 в размере ________________________(ед.изм.) </v>
      </c>
      <c r="B32" s="822"/>
      <c r="C32" s="822"/>
      <c r="D32" s="822"/>
      <c r="E32" s="822"/>
      <c r="F32" s="822"/>
    </row>
    <row r="33" spans="1:6" s="367" customFormat="1" ht="12.75">
      <c r="A33" s="368" t="s">
        <v>462</v>
      </c>
      <c r="B33" s="368"/>
      <c r="C33" s="368"/>
      <c r="D33" s="368"/>
      <c r="E33" s="819" t="s">
        <v>463</v>
      </c>
      <c r="F33" s="819"/>
    </row>
    <row r="34" spans="1:6" s="367" customFormat="1" ht="18" customHeight="1">
      <c r="A34" s="822" t="str">
        <f>"на период с 01.01."&amp;year3&amp;" по 30.06."&amp;year3&amp;" в размере ________________________(ед.изм.) "</f>
        <v>на период с 01.01.2021 по 30.06.2021 в размере ________________________(ед.изм.) </v>
      </c>
      <c r="B34" s="822"/>
      <c r="C34" s="822"/>
      <c r="D34" s="822"/>
      <c r="E34" s="822"/>
      <c r="F34" s="822"/>
    </row>
    <row r="35" spans="1:6" s="367" customFormat="1" ht="12.75">
      <c r="A35" s="368" t="s">
        <v>462</v>
      </c>
      <c r="B35" s="368"/>
      <c r="C35" s="368"/>
      <c r="D35" s="368"/>
      <c r="E35" s="819" t="s">
        <v>463</v>
      </c>
      <c r="F35" s="819"/>
    </row>
    <row r="36" spans="1:6" s="624" customFormat="1" ht="18" customHeight="1">
      <c r="A36" s="822" t="str">
        <f>"на период с 01.07."&amp;year3&amp;" по 31.12."&amp;year3&amp;" в размере ________________________(ед.изм.) "</f>
        <v>на период с 01.07.2021 по 31.12.2021 в размере ________________________(ед.изм.) </v>
      </c>
      <c r="B36" s="822"/>
      <c r="C36" s="822"/>
      <c r="D36" s="822"/>
      <c r="E36" s="822"/>
      <c r="F36" s="822"/>
    </row>
    <row r="37" spans="1:6" s="367" customFormat="1" ht="12.75">
      <c r="A37" s="368" t="s">
        <v>462</v>
      </c>
      <c r="B37" s="368"/>
      <c r="C37" s="368"/>
      <c r="D37" s="368"/>
      <c r="E37" s="819" t="s">
        <v>463</v>
      </c>
      <c r="F37" s="819"/>
    </row>
    <row r="38" spans="1:6" s="367" customFormat="1" ht="18" customHeight="1">
      <c r="A38" s="822" t="str">
        <f>"на период с 01.01."&amp;year4&amp;" по 30.06."&amp;year4&amp;" в размере ________________________(ед.изм.) "</f>
        <v>на период с 01.01.2022 по 30.06.2022 в размере ________________________(ед.изм.) </v>
      </c>
      <c r="B38" s="822"/>
      <c r="C38" s="822"/>
      <c r="D38" s="822"/>
      <c r="E38" s="822"/>
      <c r="F38" s="822"/>
    </row>
    <row r="39" spans="1:6" s="367" customFormat="1" ht="12.75">
      <c r="A39" s="368" t="s">
        <v>462</v>
      </c>
      <c r="B39" s="368"/>
      <c r="C39" s="368"/>
      <c r="D39" s="368"/>
      <c r="E39" s="819" t="s">
        <v>463</v>
      </c>
      <c r="F39" s="819"/>
    </row>
    <row r="40" spans="1:6" s="624" customFormat="1" ht="18" customHeight="1">
      <c r="A40" s="822" t="str">
        <f>"на период с 01.07."&amp;year4&amp;" по 31.12."&amp;year4&amp;" в размере ________________________(ед.изм.) "</f>
        <v>на период с 01.07.2022 по 31.12.2022 в размере ________________________(ед.изм.) </v>
      </c>
      <c r="B40" s="822"/>
      <c r="C40" s="822"/>
      <c r="D40" s="822"/>
      <c r="E40" s="822"/>
      <c r="F40" s="822"/>
    </row>
    <row r="41" spans="1:6" s="367" customFormat="1" ht="12.75">
      <c r="A41" s="368" t="s">
        <v>462</v>
      </c>
      <c r="B41" s="368"/>
      <c r="C41" s="368"/>
      <c r="D41" s="368"/>
      <c r="E41" s="819" t="s">
        <v>463</v>
      </c>
      <c r="F41" s="819"/>
    </row>
    <row r="42" spans="1:6" s="367" customFormat="1" ht="18" customHeight="1">
      <c r="A42" s="822" t="str">
        <f>"на период с 01.01."&amp;year5&amp;" по 30.06."&amp;year5&amp;" в размере ________________________(ед.изм.) "</f>
        <v>на период с 01.01.2023 по 30.06.2023 в размере ________________________(ед.изм.) </v>
      </c>
      <c r="B42" s="822"/>
      <c r="C42" s="822"/>
      <c r="D42" s="822"/>
      <c r="E42" s="822"/>
      <c r="F42" s="822"/>
    </row>
    <row r="43" spans="1:6" s="367" customFormat="1" ht="12.75">
      <c r="A43" s="368" t="s">
        <v>462</v>
      </c>
      <c r="B43" s="368"/>
      <c r="C43" s="368"/>
      <c r="D43" s="368"/>
      <c r="E43" s="819" t="s">
        <v>463</v>
      </c>
      <c r="F43" s="819"/>
    </row>
    <row r="44" spans="1:6" s="624" customFormat="1" ht="18" customHeight="1">
      <c r="A44" s="822" t="str">
        <f>"на период с 01.07."&amp;year5&amp;" по 31.12."&amp;year5&amp;" в размере ________________________(ед.изм.) "</f>
        <v>на период с 01.07.2023 по 31.12.2023 в размере ________________________(ед.изм.) </v>
      </c>
      <c r="B44" s="822"/>
      <c r="C44" s="822"/>
      <c r="D44" s="822"/>
      <c r="E44" s="822"/>
      <c r="F44" s="822"/>
    </row>
    <row r="45" spans="1:6" s="367" customFormat="1" ht="12.75">
      <c r="A45" s="368" t="s">
        <v>462</v>
      </c>
      <c r="B45" s="368"/>
      <c r="C45" s="368"/>
      <c r="D45" s="368"/>
      <c r="E45" s="819" t="s">
        <v>463</v>
      </c>
      <c r="F45" s="819"/>
    </row>
    <row r="46" spans="1:6" s="365" customFormat="1" ht="11.25" customHeight="1">
      <c r="A46" s="366"/>
      <c r="B46" s="366"/>
      <c r="C46" s="366"/>
      <c r="D46" s="366"/>
      <c r="E46" s="366"/>
      <c r="F46" s="366"/>
    </row>
    <row r="47" spans="1:6" s="183" customFormat="1" ht="12.75">
      <c r="A47" s="827" t="s">
        <v>464</v>
      </c>
      <c r="B47" s="827"/>
      <c r="C47" s="827"/>
      <c r="D47" s="827"/>
      <c r="E47" s="827"/>
      <c r="F47" s="827"/>
    </row>
    <row r="48" spans="1:6" s="183" customFormat="1" ht="44.25" customHeight="1">
      <c r="A48" s="625" t="s">
        <v>465</v>
      </c>
      <c r="B48" s="625"/>
      <c r="C48" s="625"/>
      <c r="D48" s="625" t="s">
        <v>466</v>
      </c>
      <c r="E48" s="625" t="s">
        <v>697</v>
      </c>
      <c r="F48" s="625"/>
    </row>
    <row r="49" spans="1:6" ht="18.75">
      <c r="A49" s="203"/>
      <c r="B49" s="203"/>
      <c r="C49" s="203"/>
      <c r="D49" s="205" t="s">
        <v>467</v>
      </c>
      <c r="E49" s="205" t="s">
        <v>468</v>
      </c>
      <c r="F49" s="203"/>
    </row>
    <row r="50" spans="1:6" ht="18.75">
      <c r="A50" s="203"/>
      <c r="B50" s="203"/>
      <c r="C50" s="626" t="s">
        <v>469</v>
      </c>
      <c r="D50" s="203"/>
      <c r="E50" s="203"/>
      <c r="F50" s="203"/>
    </row>
  </sheetData>
  <sheetProtection formatRows="0"/>
  <mergeCells count="44">
    <mergeCell ref="B3:C3"/>
    <mergeCell ref="A28:F28"/>
    <mergeCell ref="A14:F14"/>
    <mergeCell ref="A15:F15"/>
    <mergeCell ref="A10:F10"/>
    <mergeCell ref="A11:F11"/>
    <mergeCell ref="E2:F3"/>
    <mergeCell ref="E4:F4"/>
    <mergeCell ref="A6:F6"/>
    <mergeCell ref="A7:F7"/>
    <mergeCell ref="A8:F8"/>
    <mergeCell ref="A18:F18"/>
    <mergeCell ref="A20:F20"/>
    <mergeCell ref="A21:C21"/>
    <mergeCell ref="D23:F23"/>
    <mergeCell ref="A12:F12"/>
    <mergeCell ref="A13:F13"/>
    <mergeCell ref="A9:F9"/>
    <mergeCell ref="A47:F47"/>
    <mergeCell ref="A36:F36"/>
    <mergeCell ref="E37:F37"/>
    <mergeCell ref="A42:F42"/>
    <mergeCell ref="E43:F43"/>
    <mergeCell ref="A40:F40"/>
    <mergeCell ref="A44:F44"/>
    <mergeCell ref="E45:F45"/>
    <mergeCell ref="E41:F41"/>
    <mergeCell ref="A38:F38"/>
    <mergeCell ref="E29:F29"/>
    <mergeCell ref="A30:F30"/>
    <mergeCell ref="E31:F31"/>
    <mergeCell ref="A17:F17"/>
    <mergeCell ref="A34:F34"/>
    <mergeCell ref="A23:C23"/>
    <mergeCell ref="E39:F39"/>
    <mergeCell ref="D21:F21"/>
    <mergeCell ref="D22:F22"/>
    <mergeCell ref="E35:F35"/>
    <mergeCell ref="A26:F26"/>
    <mergeCell ref="E27:F27"/>
    <mergeCell ref="A24:F24"/>
    <mergeCell ref="A25:F25"/>
    <mergeCell ref="A32:F32"/>
    <mergeCell ref="E33:F3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1"/>
  <dimension ref="A1:V32"/>
  <sheetViews>
    <sheetView zoomScale="80" zoomScaleNormal="80" zoomScalePageLayoutView="0" workbookViewId="0" topLeftCell="F1">
      <selection activeCell="J13" sqref="J13:Q18"/>
    </sheetView>
  </sheetViews>
  <sheetFormatPr defaultColWidth="9.140625" defaultRowHeight="12.75"/>
  <cols>
    <col min="1" max="1" width="6.28125" style="27" customWidth="1"/>
    <col min="2" max="2" width="16.57421875" style="27" customWidth="1"/>
    <col min="3" max="3" width="46.421875" style="27" customWidth="1"/>
    <col min="4" max="17" width="13.8515625" style="27" customWidth="1"/>
    <col min="18" max="16384" width="9.140625" style="27" customWidth="1"/>
  </cols>
  <sheetData>
    <row r="1" spans="1:17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27" t="s">
        <v>440</v>
      </c>
    </row>
    <row r="2" spans="1:17" ht="12.75">
      <c r="A2" s="1080" t="s">
        <v>52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</row>
    <row r="3" spans="1:17" ht="12.75">
      <c r="A3" s="1114" t="s">
        <v>53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</row>
    <row r="4" spans="1:22" ht="22.5" customHeight="1">
      <c r="A4" s="1116" t="s">
        <v>5</v>
      </c>
      <c r="B4" s="845"/>
      <c r="C4" s="845" t="s">
        <v>47</v>
      </c>
      <c r="D4" s="1026" t="s">
        <v>573</v>
      </c>
      <c r="E4" s="1115"/>
      <c r="F4" s="845" t="s">
        <v>574</v>
      </c>
      <c r="G4" s="845"/>
      <c r="H4" s="1023" t="s">
        <v>567</v>
      </c>
      <c r="I4" s="1031"/>
      <c r="J4" s="1031"/>
      <c r="K4" s="1031"/>
      <c r="L4" s="1031"/>
      <c r="M4" s="1031"/>
      <c r="N4" s="1031"/>
      <c r="O4" s="1031"/>
      <c r="P4" s="1031"/>
      <c r="Q4" s="1117"/>
      <c r="R4" s="29"/>
      <c r="S4" s="29"/>
      <c r="T4" s="29"/>
      <c r="U4" s="29"/>
      <c r="V4" s="29"/>
    </row>
    <row r="5" spans="1:22" ht="22.5" customHeight="1">
      <c r="A5" s="1116"/>
      <c r="B5" s="845"/>
      <c r="C5" s="845"/>
      <c r="D5" s="1118">
        <f>factYear</f>
        <v>2017</v>
      </c>
      <c r="E5" s="1022"/>
      <c r="F5" s="1058">
        <f>currYear</f>
        <v>2018</v>
      </c>
      <c r="G5" s="1058"/>
      <c r="H5" s="1099" t="str">
        <f>year1</f>
        <v>2019</v>
      </c>
      <c r="I5" s="1100"/>
      <c r="J5" s="1099">
        <f>year2</f>
        <v>2020</v>
      </c>
      <c r="K5" s="1100"/>
      <c r="L5" s="1099">
        <f>year3</f>
        <v>2021</v>
      </c>
      <c r="M5" s="1101"/>
      <c r="N5" s="1101">
        <f>year4</f>
        <v>2022</v>
      </c>
      <c r="O5" s="1100"/>
      <c r="P5" s="1099">
        <f>year5</f>
        <v>2023</v>
      </c>
      <c r="Q5" s="1100"/>
      <c r="R5" s="29"/>
      <c r="S5" s="29"/>
      <c r="T5" s="29"/>
      <c r="U5" s="29"/>
      <c r="V5" s="29"/>
    </row>
    <row r="6" spans="1:22" ht="38.25" customHeight="1">
      <c r="A6" s="1116"/>
      <c r="B6" s="845"/>
      <c r="C6" s="845"/>
      <c r="D6" s="40" t="s">
        <v>190</v>
      </c>
      <c r="E6" s="40" t="s">
        <v>191</v>
      </c>
      <c r="F6" s="40" t="s">
        <v>190</v>
      </c>
      <c r="G6" s="40" t="s">
        <v>191</v>
      </c>
      <c r="H6" s="40" t="s">
        <v>48</v>
      </c>
      <c r="I6" s="40" t="s">
        <v>49</v>
      </c>
      <c r="J6" s="40" t="s">
        <v>48</v>
      </c>
      <c r="K6" s="40" t="s">
        <v>49</v>
      </c>
      <c r="L6" s="40" t="s">
        <v>48</v>
      </c>
      <c r="M6" s="40" t="s">
        <v>49</v>
      </c>
      <c r="N6" s="40" t="s">
        <v>48</v>
      </c>
      <c r="O6" s="40" t="s">
        <v>49</v>
      </c>
      <c r="P6" s="40" t="s">
        <v>48</v>
      </c>
      <c r="Q6" s="40" t="s">
        <v>49</v>
      </c>
      <c r="R6" s="29"/>
      <c r="S6" s="29"/>
      <c r="T6" s="29"/>
      <c r="U6" s="29"/>
      <c r="V6" s="29"/>
    </row>
    <row r="7" spans="1:22" ht="24.75" customHeight="1">
      <c r="A7" s="47" t="s">
        <v>50</v>
      </c>
      <c r="B7" s="1102" t="s">
        <v>256</v>
      </c>
      <c r="C7" s="134" t="s">
        <v>51</v>
      </c>
      <c r="D7" s="13">
        <v>1358.9</v>
      </c>
      <c r="E7" s="13">
        <v>1358.9</v>
      </c>
      <c r="F7" s="13">
        <v>1358.9</v>
      </c>
      <c r="G7" s="13">
        <v>1358.9</v>
      </c>
      <c r="H7" s="13">
        <v>1358</v>
      </c>
      <c r="I7" s="13"/>
      <c r="J7" s="13">
        <v>1358.9</v>
      </c>
      <c r="K7" s="13"/>
      <c r="L7" s="13">
        <v>1358.9</v>
      </c>
      <c r="M7" s="13"/>
      <c r="N7" s="13">
        <v>1358.9</v>
      </c>
      <c r="O7" s="13"/>
      <c r="P7" s="13">
        <v>1358.9</v>
      </c>
      <c r="Q7" s="13"/>
      <c r="R7" s="29"/>
      <c r="S7" s="29"/>
      <c r="T7" s="29"/>
      <c r="U7" s="29"/>
      <c r="V7" s="29"/>
    </row>
    <row r="8" spans="1:22" ht="15" customHeight="1">
      <c r="A8" s="47" t="s">
        <v>54</v>
      </c>
      <c r="B8" s="1102"/>
      <c r="C8" s="28" t="s">
        <v>55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9"/>
      <c r="S8" s="29"/>
      <c r="T8" s="29"/>
      <c r="U8" s="29"/>
      <c r="V8" s="29"/>
    </row>
    <row r="9" spans="1:22" ht="15.75" customHeight="1">
      <c r="A9" s="47" t="s">
        <v>57</v>
      </c>
      <c r="B9" s="1102"/>
      <c r="C9" s="28" t="s">
        <v>56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9"/>
      <c r="S9" s="29"/>
      <c r="T9" s="29"/>
      <c r="U9" s="29"/>
      <c r="V9" s="29"/>
    </row>
    <row r="10" spans="1:22" ht="25.5">
      <c r="A10" s="47" t="s">
        <v>58</v>
      </c>
      <c r="B10" s="1102"/>
      <c r="C10" s="28" t="s">
        <v>59</v>
      </c>
      <c r="D10" s="65">
        <f>D7+(D8-D9)/2</f>
        <v>1358.9</v>
      </c>
      <c r="E10" s="65">
        <f aca="true" t="shared" si="0" ref="E10:Q10">E7+(E8-E9)/2</f>
        <v>1358.9</v>
      </c>
      <c r="F10" s="65">
        <f t="shared" si="0"/>
        <v>1358.9</v>
      </c>
      <c r="G10" s="65">
        <f t="shared" si="0"/>
        <v>1358.9</v>
      </c>
      <c r="H10" s="65">
        <f t="shared" si="0"/>
        <v>1358</v>
      </c>
      <c r="I10" s="65">
        <f t="shared" si="0"/>
        <v>0</v>
      </c>
      <c r="J10" s="65">
        <f t="shared" si="0"/>
        <v>1358.9</v>
      </c>
      <c r="K10" s="65">
        <f t="shared" si="0"/>
        <v>0</v>
      </c>
      <c r="L10" s="65">
        <f t="shared" si="0"/>
        <v>1358.9</v>
      </c>
      <c r="M10" s="65">
        <f t="shared" si="0"/>
        <v>0</v>
      </c>
      <c r="N10" s="65">
        <f t="shared" si="0"/>
        <v>1358.9</v>
      </c>
      <c r="O10" s="65">
        <f t="shared" si="0"/>
        <v>0</v>
      </c>
      <c r="P10" s="65">
        <f t="shared" si="0"/>
        <v>1358.9</v>
      </c>
      <c r="Q10" s="65">
        <f t="shared" si="0"/>
        <v>0</v>
      </c>
      <c r="R10" s="29"/>
      <c r="S10" s="29"/>
      <c r="T10" s="29"/>
      <c r="U10" s="29"/>
      <c r="V10" s="29"/>
    </row>
    <row r="11" spans="1:22" ht="13.5" thickBot="1">
      <c r="A11" s="47" t="s">
        <v>60</v>
      </c>
      <c r="B11" s="1102"/>
      <c r="C11" s="547" t="s">
        <v>61</v>
      </c>
      <c r="D11" s="540">
        <v>1.2</v>
      </c>
      <c r="E11" s="540">
        <v>1.2</v>
      </c>
      <c r="F11" s="540">
        <v>1.2</v>
      </c>
      <c r="G11" s="540">
        <v>1.2</v>
      </c>
      <c r="H11" s="540">
        <v>1.2</v>
      </c>
      <c r="I11" s="540"/>
      <c r="J11" s="540">
        <v>1.2</v>
      </c>
      <c r="K11" s="540"/>
      <c r="L11" s="540">
        <v>1.2</v>
      </c>
      <c r="M11" s="540"/>
      <c r="N11" s="540">
        <v>1.2</v>
      </c>
      <c r="O11" s="540"/>
      <c r="P11" s="540">
        <v>1.2</v>
      </c>
      <c r="Q11" s="540"/>
      <c r="R11" s="29"/>
      <c r="S11" s="29"/>
      <c r="T11" s="29"/>
      <c r="U11" s="29"/>
      <c r="V11" s="29"/>
    </row>
    <row r="12" spans="1:22" ht="52.5" customHeight="1" thickBot="1">
      <c r="A12" s="47" t="s">
        <v>62</v>
      </c>
      <c r="B12" s="1103"/>
      <c r="C12" s="548" t="s">
        <v>63</v>
      </c>
      <c r="D12" s="541">
        <f>D10*D11/100</f>
        <v>16.31</v>
      </c>
      <c r="E12" s="542">
        <f>E10*E11/100</f>
        <v>16.31</v>
      </c>
      <c r="F12" s="542">
        <f>F10*F11/100</f>
        <v>16.31</v>
      </c>
      <c r="G12" s="542">
        <f aca="true" t="shared" si="1" ref="G12:Q12">G10*G11/100</f>
        <v>16.31</v>
      </c>
      <c r="H12" s="542">
        <f t="shared" si="1"/>
        <v>16.3</v>
      </c>
      <c r="I12" s="542">
        <f t="shared" si="1"/>
        <v>0</v>
      </c>
      <c r="J12" s="543">
        <f t="shared" si="1"/>
        <v>16.31</v>
      </c>
      <c r="K12" s="543">
        <f t="shared" si="1"/>
        <v>0</v>
      </c>
      <c r="L12" s="543">
        <f t="shared" si="1"/>
        <v>16.31</v>
      </c>
      <c r="M12" s="543">
        <f t="shared" si="1"/>
        <v>0</v>
      </c>
      <c r="N12" s="543">
        <f t="shared" si="1"/>
        <v>16.31</v>
      </c>
      <c r="O12" s="543">
        <f t="shared" si="1"/>
        <v>0</v>
      </c>
      <c r="P12" s="543">
        <f t="shared" si="1"/>
        <v>16.31</v>
      </c>
      <c r="Q12" s="544">
        <f t="shared" si="1"/>
        <v>0</v>
      </c>
      <c r="R12" s="29"/>
      <c r="S12" s="29"/>
      <c r="T12" s="29"/>
      <c r="U12" s="29"/>
      <c r="V12" s="29"/>
    </row>
    <row r="13" spans="1:22" ht="25.5">
      <c r="A13" s="47" t="s">
        <v>50</v>
      </c>
      <c r="B13" s="1102" t="s">
        <v>418</v>
      </c>
      <c r="C13" s="549" t="s">
        <v>51</v>
      </c>
      <c r="D13" s="347">
        <v>306.9</v>
      </c>
      <c r="E13" s="347">
        <v>316.66</v>
      </c>
      <c r="F13" s="347">
        <v>316</v>
      </c>
      <c r="G13" s="347"/>
      <c r="H13" s="347"/>
      <c r="I13" s="349"/>
      <c r="J13" s="1111"/>
      <c r="K13" s="1112"/>
      <c r="L13" s="1112"/>
      <c r="M13" s="1112"/>
      <c r="N13" s="1112"/>
      <c r="O13" s="1112"/>
      <c r="P13" s="1112"/>
      <c r="Q13" s="1113"/>
      <c r="R13" s="29"/>
      <c r="S13" s="29"/>
      <c r="T13" s="29"/>
      <c r="U13" s="29"/>
      <c r="V13" s="29"/>
    </row>
    <row r="14" spans="1:22" ht="12.75">
      <c r="A14" s="47" t="s">
        <v>54</v>
      </c>
      <c r="B14" s="1102"/>
      <c r="C14" s="28" t="s">
        <v>55</v>
      </c>
      <c r="D14" s="201"/>
      <c r="E14" s="201"/>
      <c r="F14" s="201"/>
      <c r="G14" s="201"/>
      <c r="H14" s="201"/>
      <c r="I14" s="219"/>
      <c r="J14" s="1107"/>
      <c r="K14" s="1105"/>
      <c r="L14" s="1105"/>
      <c r="M14" s="1105"/>
      <c r="N14" s="1105"/>
      <c r="O14" s="1105"/>
      <c r="P14" s="1105"/>
      <c r="Q14" s="1106"/>
      <c r="R14" s="29"/>
      <c r="S14" s="29"/>
      <c r="T14" s="29"/>
      <c r="U14" s="29"/>
      <c r="V14" s="29"/>
    </row>
    <row r="15" spans="1:22" ht="12.75">
      <c r="A15" s="47">
        <v>3</v>
      </c>
      <c r="B15" s="1102"/>
      <c r="C15" s="28" t="s">
        <v>56</v>
      </c>
      <c r="D15" s="201"/>
      <c r="E15" s="201"/>
      <c r="F15" s="201"/>
      <c r="G15" s="201"/>
      <c r="H15" s="201"/>
      <c r="I15" s="219"/>
      <c r="J15" s="1107"/>
      <c r="K15" s="1105"/>
      <c r="L15" s="1105"/>
      <c r="M15" s="1105"/>
      <c r="N15" s="1105"/>
      <c r="O15" s="1105"/>
      <c r="P15" s="1105"/>
      <c r="Q15" s="1106"/>
      <c r="R15" s="29"/>
      <c r="S15" s="29"/>
      <c r="T15" s="29"/>
      <c r="U15" s="29"/>
      <c r="V15" s="29"/>
    </row>
    <row r="16" spans="1:22" ht="24" customHeight="1">
      <c r="A16" s="47" t="s">
        <v>58</v>
      </c>
      <c r="B16" s="1102"/>
      <c r="C16" s="28" t="s">
        <v>59</v>
      </c>
      <c r="D16" s="65">
        <f aca="true" t="shared" si="2" ref="D16:I16">D13+(D14-D15)/2</f>
        <v>306.9</v>
      </c>
      <c r="E16" s="65">
        <f t="shared" si="2"/>
        <v>316.66</v>
      </c>
      <c r="F16" s="65">
        <f t="shared" si="2"/>
        <v>316</v>
      </c>
      <c r="G16" s="65">
        <f t="shared" si="2"/>
        <v>0</v>
      </c>
      <c r="H16" s="65">
        <f t="shared" si="2"/>
        <v>0</v>
      </c>
      <c r="I16" s="325">
        <f t="shared" si="2"/>
        <v>0</v>
      </c>
      <c r="J16" s="1107"/>
      <c r="K16" s="1105"/>
      <c r="L16" s="1105"/>
      <c r="M16" s="1105"/>
      <c r="N16" s="1105"/>
      <c r="O16" s="1105"/>
      <c r="P16" s="1105"/>
      <c r="Q16" s="1106"/>
      <c r="R16" s="29"/>
      <c r="S16" s="29"/>
      <c r="T16" s="29"/>
      <c r="U16" s="29"/>
      <c r="V16" s="29"/>
    </row>
    <row r="17" spans="1:22" ht="13.5" thickBot="1">
      <c r="A17" s="47" t="s">
        <v>60</v>
      </c>
      <c r="B17" s="1102"/>
      <c r="C17" s="28" t="s">
        <v>61</v>
      </c>
      <c r="D17" s="540">
        <v>2.04</v>
      </c>
      <c r="E17" s="540">
        <v>0.06</v>
      </c>
      <c r="F17" s="540">
        <v>2</v>
      </c>
      <c r="G17" s="540"/>
      <c r="H17" s="540"/>
      <c r="I17" s="545"/>
      <c r="J17" s="1107"/>
      <c r="K17" s="1105"/>
      <c r="L17" s="1105"/>
      <c r="M17" s="1105"/>
      <c r="N17" s="1105"/>
      <c r="O17" s="1105"/>
      <c r="P17" s="1105"/>
      <c r="Q17" s="1106"/>
      <c r="R17" s="29"/>
      <c r="S17" s="29"/>
      <c r="T17" s="29"/>
      <c r="U17" s="29"/>
      <c r="V17" s="29"/>
    </row>
    <row r="18" spans="1:22" ht="45" customHeight="1" thickBot="1">
      <c r="A18" s="47" t="s">
        <v>62</v>
      </c>
      <c r="B18" s="1102"/>
      <c r="C18" s="548" t="s">
        <v>63</v>
      </c>
      <c r="D18" s="541">
        <f aca="true" t="shared" si="3" ref="D18:I18">D16*D17/100</f>
        <v>6.26</v>
      </c>
      <c r="E18" s="542">
        <f t="shared" si="3"/>
        <v>0.19</v>
      </c>
      <c r="F18" s="542">
        <f t="shared" si="3"/>
        <v>6.32</v>
      </c>
      <c r="G18" s="542">
        <f t="shared" si="3"/>
        <v>0</v>
      </c>
      <c r="H18" s="542">
        <f t="shared" si="3"/>
        <v>0</v>
      </c>
      <c r="I18" s="546">
        <f t="shared" si="3"/>
        <v>0</v>
      </c>
      <c r="J18" s="1108"/>
      <c r="K18" s="1109"/>
      <c r="L18" s="1109"/>
      <c r="M18" s="1109"/>
      <c r="N18" s="1109"/>
      <c r="O18" s="1109"/>
      <c r="P18" s="1109"/>
      <c r="Q18" s="1110"/>
      <c r="R18" s="29"/>
      <c r="S18" s="29"/>
      <c r="T18" s="29"/>
      <c r="U18" s="29"/>
      <c r="V18" s="29"/>
    </row>
    <row r="19" spans="1:22" ht="12.75">
      <c r="A19" s="47" t="s">
        <v>50</v>
      </c>
      <c r="B19" s="1102" t="s">
        <v>255</v>
      </c>
      <c r="C19" s="134" t="s">
        <v>216</v>
      </c>
      <c r="D19" s="347"/>
      <c r="E19" s="347"/>
      <c r="F19" s="347"/>
      <c r="G19" s="347"/>
      <c r="H19" s="347"/>
      <c r="I19" s="349"/>
      <c r="J19" s="1104"/>
      <c r="K19" s="1105"/>
      <c r="L19" s="1105"/>
      <c r="M19" s="1105"/>
      <c r="N19" s="1105"/>
      <c r="O19" s="1105"/>
      <c r="P19" s="1105"/>
      <c r="Q19" s="1106"/>
      <c r="R19" s="29"/>
      <c r="S19" s="29"/>
      <c r="T19" s="29"/>
      <c r="U19" s="29"/>
      <c r="V19" s="29"/>
    </row>
    <row r="20" spans="1:22" ht="18" customHeight="1">
      <c r="A20" s="47" t="s">
        <v>54</v>
      </c>
      <c r="B20" s="1102"/>
      <c r="C20" s="28" t="s">
        <v>217</v>
      </c>
      <c r="D20" s="201"/>
      <c r="E20" s="201"/>
      <c r="F20" s="201"/>
      <c r="G20" s="201"/>
      <c r="H20" s="201"/>
      <c r="I20" s="219"/>
      <c r="J20" s="1107"/>
      <c r="K20" s="1105"/>
      <c r="L20" s="1105"/>
      <c r="M20" s="1105"/>
      <c r="N20" s="1105"/>
      <c r="O20" s="1105"/>
      <c r="P20" s="1105"/>
      <c r="Q20" s="1106"/>
      <c r="R20" s="29"/>
      <c r="S20" s="29"/>
      <c r="T20" s="29"/>
      <c r="U20" s="29"/>
      <c r="V20" s="29"/>
    </row>
    <row r="21" spans="1:22" ht="18" customHeight="1">
      <c r="A21" s="47" t="s">
        <v>57</v>
      </c>
      <c r="B21" s="1102"/>
      <c r="C21" s="28" t="s">
        <v>218</v>
      </c>
      <c r="D21" s="201"/>
      <c r="E21" s="201"/>
      <c r="F21" s="201"/>
      <c r="G21" s="201"/>
      <c r="H21" s="201"/>
      <c r="I21" s="219"/>
      <c r="J21" s="1107"/>
      <c r="K21" s="1105"/>
      <c r="L21" s="1105"/>
      <c r="M21" s="1105"/>
      <c r="N21" s="1105"/>
      <c r="O21" s="1105"/>
      <c r="P21" s="1105"/>
      <c r="Q21" s="1106"/>
      <c r="R21" s="29"/>
      <c r="S21" s="29"/>
      <c r="T21" s="29"/>
      <c r="U21" s="29"/>
      <c r="V21" s="29"/>
    </row>
    <row r="22" spans="1:22" ht="21.75" customHeight="1">
      <c r="A22" s="47" t="s">
        <v>58</v>
      </c>
      <c r="B22" s="1102"/>
      <c r="C22" s="28" t="s">
        <v>219</v>
      </c>
      <c r="D22" s="65">
        <f aca="true" t="shared" si="4" ref="D22:I22">D19+(D20-D21)/2</f>
        <v>0</v>
      </c>
      <c r="E22" s="65">
        <f t="shared" si="4"/>
        <v>0</v>
      </c>
      <c r="F22" s="65">
        <f t="shared" si="4"/>
        <v>0</v>
      </c>
      <c r="G22" s="65">
        <f t="shared" si="4"/>
        <v>0</v>
      </c>
      <c r="H22" s="65">
        <f t="shared" si="4"/>
        <v>0</v>
      </c>
      <c r="I22" s="325">
        <f t="shared" si="4"/>
        <v>0</v>
      </c>
      <c r="J22" s="1107"/>
      <c r="K22" s="1105"/>
      <c r="L22" s="1105"/>
      <c r="M22" s="1105"/>
      <c r="N22" s="1105"/>
      <c r="O22" s="1105"/>
      <c r="P22" s="1105"/>
      <c r="Q22" s="1106"/>
      <c r="R22" s="29"/>
      <c r="S22" s="29"/>
      <c r="T22" s="29"/>
      <c r="U22" s="29"/>
      <c r="V22" s="29"/>
    </row>
    <row r="23" spans="1:22" ht="21.75" customHeight="1" thickBot="1">
      <c r="A23" s="47" t="s">
        <v>60</v>
      </c>
      <c r="B23" s="1102"/>
      <c r="C23" s="28" t="s">
        <v>61</v>
      </c>
      <c r="D23" s="540"/>
      <c r="E23" s="540"/>
      <c r="F23" s="540"/>
      <c r="G23" s="540"/>
      <c r="H23" s="540"/>
      <c r="I23" s="545"/>
      <c r="J23" s="1107"/>
      <c r="K23" s="1105"/>
      <c r="L23" s="1105"/>
      <c r="M23" s="1105"/>
      <c r="N23" s="1105"/>
      <c r="O23" s="1105"/>
      <c r="P23" s="1105"/>
      <c r="Q23" s="1106"/>
      <c r="R23" s="29"/>
      <c r="S23" s="29"/>
      <c r="T23" s="29"/>
      <c r="U23" s="29"/>
      <c r="V23" s="29"/>
    </row>
    <row r="24" spans="1:22" ht="43.5" customHeight="1" thickBot="1">
      <c r="A24" s="47" t="s">
        <v>62</v>
      </c>
      <c r="B24" s="1102"/>
      <c r="C24" s="548" t="s">
        <v>63</v>
      </c>
      <c r="D24" s="541">
        <f aca="true" t="shared" si="5" ref="D24:I24">D22*D23/100</f>
        <v>0</v>
      </c>
      <c r="E24" s="542">
        <f t="shared" si="5"/>
        <v>0</v>
      </c>
      <c r="F24" s="542">
        <f t="shared" si="5"/>
        <v>0</v>
      </c>
      <c r="G24" s="542">
        <f t="shared" si="5"/>
        <v>0</v>
      </c>
      <c r="H24" s="542">
        <f t="shared" si="5"/>
        <v>0</v>
      </c>
      <c r="I24" s="546">
        <f t="shared" si="5"/>
        <v>0</v>
      </c>
      <c r="J24" s="1108"/>
      <c r="K24" s="1109"/>
      <c r="L24" s="1109"/>
      <c r="M24" s="1109"/>
      <c r="N24" s="1109"/>
      <c r="O24" s="1109"/>
      <c r="P24" s="1109"/>
      <c r="Q24" s="1110"/>
      <c r="R24" s="29"/>
      <c r="S24" s="29"/>
      <c r="T24" s="29"/>
      <c r="U24" s="29"/>
      <c r="V24" s="29"/>
    </row>
    <row r="25" spans="1:22" ht="12.75">
      <c r="A25" s="4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2.75">
      <c r="A26" s="4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2.75">
      <c r="A27" s="4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19" s="81" customFormat="1" ht="13.5" customHeight="1">
      <c r="A28" s="1077" t="s">
        <v>428</v>
      </c>
      <c r="B28" s="1077"/>
      <c r="C28" s="1077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1077"/>
      <c r="Q28" s="1077"/>
      <c r="R28" s="29"/>
      <c r="S28" s="29"/>
    </row>
    <row r="29" spans="1:19" s="81" customFormat="1" ht="12.75" customHeight="1">
      <c r="A29" s="980" t="s">
        <v>429</v>
      </c>
      <c r="B29" s="980"/>
      <c r="C29" s="980"/>
      <c r="D29" s="980"/>
      <c r="E29" s="980"/>
      <c r="F29" s="980"/>
      <c r="G29" s="980"/>
      <c r="H29" s="980"/>
      <c r="I29" s="980"/>
      <c r="J29" s="980"/>
      <c r="K29" s="980"/>
      <c r="L29" s="980"/>
      <c r="M29" s="980"/>
      <c r="N29" s="980"/>
      <c r="O29" s="980"/>
      <c r="P29" s="980"/>
      <c r="Q29" s="980"/>
      <c r="R29" s="15"/>
      <c r="S29" s="15"/>
    </row>
    <row r="30" spans="2:2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 password="C8D1" sheet="1" scenarios="1" formatRows="0"/>
  <mergeCells count="23">
    <mergeCell ref="A1:P1"/>
    <mergeCell ref="A2:Q2"/>
    <mergeCell ref="A4:A6"/>
    <mergeCell ref="B4:B6"/>
    <mergeCell ref="C4:C6"/>
    <mergeCell ref="H4:Q4"/>
    <mergeCell ref="N5:O5"/>
    <mergeCell ref="F4:G4"/>
    <mergeCell ref="D5:E5"/>
    <mergeCell ref="F5:G5"/>
    <mergeCell ref="J5:K5"/>
    <mergeCell ref="A3:Q3"/>
    <mergeCell ref="L5:M5"/>
    <mergeCell ref="H5:I5"/>
    <mergeCell ref="D4:E4"/>
    <mergeCell ref="P5:Q5"/>
    <mergeCell ref="A29:Q29"/>
    <mergeCell ref="B7:B12"/>
    <mergeCell ref="B13:B18"/>
    <mergeCell ref="A28:Q28"/>
    <mergeCell ref="B19:B24"/>
    <mergeCell ref="J19:Q24"/>
    <mergeCell ref="J13:Q18"/>
  </mergeCells>
  <printOptions/>
  <pageMargins left="0.15748031496062992" right="0" top="0" bottom="0" header="0" footer="0"/>
  <pageSetup horizontalDpi="600" verticalDpi="600" orientation="landscape" paperSize="9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17"/>
  <dimension ref="A1:O16"/>
  <sheetViews>
    <sheetView zoomScalePageLayoutView="0" workbookViewId="0" topLeftCell="B1">
      <selection activeCell="G11" sqref="G11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3" width="12.7109375" style="27" customWidth="1"/>
    <col min="4" max="4" width="11.7109375" style="27" customWidth="1"/>
    <col min="5" max="6" width="12.140625" style="27" customWidth="1"/>
    <col min="7" max="8" width="12.8515625" style="27" customWidth="1"/>
    <col min="9" max="9" width="13.00390625" style="27" customWidth="1"/>
    <col min="10" max="10" width="12.8515625" style="27" customWidth="1"/>
    <col min="11" max="16384" width="9.140625" style="27" customWidth="1"/>
  </cols>
  <sheetData>
    <row r="1" spans="1:10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12.75">
      <c r="A2" s="839"/>
      <c r="B2" s="839"/>
      <c r="C2" s="839"/>
      <c r="D2" s="839"/>
      <c r="E2" s="839"/>
      <c r="F2" s="839"/>
      <c r="G2" s="839"/>
      <c r="H2" s="839"/>
      <c r="I2" s="839"/>
      <c r="J2" s="34"/>
    </row>
    <row r="3" spans="1:10" ht="23.25" customHeight="1">
      <c r="A3" s="1097" t="s">
        <v>415</v>
      </c>
      <c r="B3" s="1097"/>
      <c r="C3" s="1097"/>
      <c r="D3" s="1097"/>
      <c r="E3" s="1097"/>
      <c r="F3" s="1097"/>
      <c r="G3" s="1097"/>
      <c r="H3" s="1097"/>
      <c r="I3" s="1097"/>
      <c r="J3" s="1097"/>
    </row>
    <row r="4" spans="1:10" ht="21" customHeight="1">
      <c r="A4" s="1121" t="s">
        <v>5</v>
      </c>
      <c r="B4" s="809" t="s">
        <v>124</v>
      </c>
      <c r="C4" s="1058">
        <f>factYear</f>
        <v>2017</v>
      </c>
      <c r="D4" s="1058"/>
      <c r="E4" s="1058">
        <f>currYear</f>
        <v>2018</v>
      </c>
      <c r="F4" s="1058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</row>
    <row r="5" spans="1:10" ht="25.5">
      <c r="A5" s="1121"/>
      <c r="B5" s="809"/>
      <c r="C5" s="40" t="s">
        <v>190</v>
      </c>
      <c r="D5" s="40" t="s">
        <v>191</v>
      </c>
      <c r="E5" s="40" t="s">
        <v>190</v>
      </c>
      <c r="F5" s="40" t="s">
        <v>192</v>
      </c>
      <c r="G5" s="40" t="s">
        <v>1</v>
      </c>
      <c r="H5" s="40" t="s">
        <v>2</v>
      </c>
      <c r="I5" s="40" t="s">
        <v>1</v>
      </c>
      <c r="J5" s="40" t="s">
        <v>2</v>
      </c>
    </row>
    <row r="6" spans="1:10" ht="21.75" customHeight="1">
      <c r="A6" s="28"/>
      <c r="B6" s="56" t="s">
        <v>125</v>
      </c>
      <c r="C6" s="164">
        <f>C7+C8+C9+C10</f>
        <v>0</v>
      </c>
      <c r="D6" s="164">
        <f aca="true" t="shared" si="0" ref="D6:J6">D7+D8+D9+D10</f>
        <v>0</v>
      </c>
      <c r="E6" s="164">
        <f t="shared" si="0"/>
        <v>0</v>
      </c>
      <c r="F6" s="164">
        <f t="shared" si="0"/>
        <v>0.1</v>
      </c>
      <c r="G6" s="164">
        <f t="shared" si="0"/>
        <v>0.1</v>
      </c>
      <c r="H6" s="164">
        <f t="shared" si="0"/>
        <v>0</v>
      </c>
      <c r="I6" s="164">
        <f t="shared" si="0"/>
        <v>0.3</v>
      </c>
      <c r="J6" s="164">
        <f t="shared" si="0"/>
        <v>0</v>
      </c>
    </row>
    <row r="7" spans="1:10" ht="45" customHeight="1">
      <c r="A7" s="62">
        <v>1</v>
      </c>
      <c r="B7" s="28" t="s">
        <v>416</v>
      </c>
      <c r="C7" s="13"/>
      <c r="D7" s="13"/>
      <c r="E7" s="13"/>
      <c r="F7" s="13"/>
      <c r="G7" s="13"/>
      <c r="H7" s="13"/>
      <c r="I7" s="13"/>
      <c r="J7" s="13"/>
    </row>
    <row r="8" spans="1:10" ht="15" customHeight="1">
      <c r="A8" s="62" t="s">
        <v>110</v>
      </c>
      <c r="B8" s="28" t="s">
        <v>137</v>
      </c>
      <c r="C8" s="13"/>
      <c r="D8" s="13"/>
      <c r="E8" s="13"/>
      <c r="F8" s="13"/>
      <c r="G8" s="13"/>
      <c r="H8" s="13"/>
      <c r="I8" s="13"/>
      <c r="J8" s="13"/>
    </row>
    <row r="9" spans="1:10" ht="55.5" customHeight="1">
      <c r="A9" s="62" t="s">
        <v>122</v>
      </c>
      <c r="B9" s="28" t="s">
        <v>220</v>
      </c>
      <c r="C9" s="13"/>
      <c r="D9" s="13"/>
      <c r="E9" s="13"/>
      <c r="F9" s="13"/>
      <c r="G9" s="13"/>
      <c r="H9" s="13"/>
      <c r="I9" s="13"/>
      <c r="J9" s="13"/>
    </row>
    <row r="10" spans="1:10" ht="18.75" customHeight="1">
      <c r="A10" s="62" t="s">
        <v>123</v>
      </c>
      <c r="B10" s="28" t="s">
        <v>134</v>
      </c>
      <c r="C10" s="13"/>
      <c r="D10" s="13"/>
      <c r="E10" s="13"/>
      <c r="F10" s="13">
        <v>0.1</v>
      </c>
      <c r="G10" s="13">
        <v>0.1</v>
      </c>
      <c r="H10" s="13"/>
      <c r="I10" s="13">
        <v>0.3</v>
      </c>
      <c r="J10" s="13"/>
    </row>
    <row r="11" spans="1:10" ht="12.75">
      <c r="A11" s="3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.75">
      <c r="A12" s="38"/>
      <c r="B12" s="1120" t="s">
        <v>135</v>
      </c>
      <c r="C12" s="1120"/>
      <c r="D12" s="1120"/>
      <c r="E12" s="1120"/>
      <c r="F12" s="1120"/>
      <c r="G12" s="1120"/>
      <c r="H12" s="1120"/>
      <c r="I12" s="1120"/>
      <c r="J12" s="1120"/>
    </row>
    <row r="14" spans="11:13" ht="12.75">
      <c r="K14" s="1119"/>
      <c r="L14" s="1119"/>
      <c r="M14" s="1119"/>
    </row>
    <row r="15" spans="1:15" s="81" customFormat="1" ht="13.5" customHeight="1">
      <c r="A15" s="930" t="s">
        <v>428</v>
      </c>
      <c r="B15" s="930"/>
      <c r="C15" s="930"/>
      <c r="D15" s="930"/>
      <c r="E15" s="930"/>
      <c r="F15" s="930"/>
      <c r="G15" s="930"/>
      <c r="H15" s="930"/>
      <c r="I15" s="930"/>
      <c r="J15" s="930"/>
      <c r="K15" s="27"/>
      <c r="L15" s="27"/>
      <c r="M15" s="27"/>
      <c r="N15" s="29"/>
      <c r="O15" s="29"/>
    </row>
    <row r="16" spans="1:15" s="81" customFormat="1" ht="12.75" customHeight="1">
      <c r="A16" s="929" t="s">
        <v>429</v>
      </c>
      <c r="B16" s="929"/>
      <c r="C16" s="929"/>
      <c r="D16" s="929"/>
      <c r="E16" s="929"/>
      <c r="F16" s="929"/>
      <c r="G16" s="929"/>
      <c r="H16" s="929"/>
      <c r="I16" s="929"/>
      <c r="J16" s="929"/>
      <c r="K16" s="15"/>
      <c r="L16" s="15"/>
      <c r="M16" s="15"/>
      <c r="N16" s="15"/>
      <c r="O16" s="15"/>
    </row>
  </sheetData>
  <sheetProtection password="C8D1" sheet="1" scenarios="1" formatRows="0"/>
  <mergeCells count="13">
    <mergeCell ref="A1:J1"/>
    <mergeCell ref="A2:I2"/>
    <mergeCell ref="A4:A5"/>
    <mergeCell ref="B4:B5"/>
    <mergeCell ref="C4:D4"/>
    <mergeCell ref="E4:F4"/>
    <mergeCell ref="G4:H4"/>
    <mergeCell ref="I4:J4"/>
    <mergeCell ref="A3:J3"/>
    <mergeCell ref="A15:J15"/>
    <mergeCell ref="A16:J16"/>
    <mergeCell ref="K14:M14"/>
    <mergeCell ref="B12:J12"/>
  </mergeCells>
  <printOptions/>
  <pageMargins left="0.15748031496062992" right="0" top="0.3937007874015748" bottom="0.3937007874015748" header="0" footer="0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_oh"/>
  <dimension ref="A1:AA4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27" customWidth="1"/>
    <col min="2" max="2" width="32.28125" style="27" customWidth="1"/>
    <col min="3" max="3" width="12.28125" style="27" customWidth="1"/>
    <col min="4" max="4" width="11.8515625" style="27" customWidth="1"/>
    <col min="5" max="5" width="11.421875" style="27" customWidth="1"/>
    <col min="6" max="6" width="11.57421875" style="27" customWidth="1"/>
    <col min="7" max="7" width="12.8515625" style="27" customWidth="1"/>
    <col min="8" max="8" width="12.421875" style="27" customWidth="1"/>
    <col min="9" max="9" width="12.57421875" style="27" customWidth="1"/>
    <col min="10" max="10" width="13.140625" style="27" customWidth="1"/>
    <col min="11" max="16384" width="9.140625" style="27" customWidth="1"/>
  </cols>
  <sheetData>
    <row r="1" spans="1:10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33"/>
    </row>
    <row r="2" spans="1:10" ht="12.75">
      <c r="A2" s="839"/>
      <c r="B2" s="839"/>
      <c r="C2" s="839"/>
      <c r="D2" s="839"/>
      <c r="E2" s="839"/>
      <c r="F2" s="839"/>
      <c r="G2" s="839"/>
      <c r="H2" s="839"/>
      <c r="I2" s="839"/>
      <c r="J2" s="34"/>
    </row>
    <row r="3" spans="1:10" ht="30" customHeight="1">
      <c r="A3" s="1097" t="s">
        <v>426</v>
      </c>
      <c r="B3" s="1097"/>
      <c r="C3" s="1097"/>
      <c r="D3" s="1097"/>
      <c r="E3" s="1097"/>
      <c r="F3" s="1097"/>
      <c r="G3" s="1097"/>
      <c r="H3" s="1097"/>
      <c r="I3" s="1097"/>
      <c r="J3" s="1097"/>
    </row>
    <row r="4" spans="1:10" ht="22.5" customHeight="1">
      <c r="A4" s="1122" t="s">
        <v>5</v>
      </c>
      <c r="B4" s="845" t="s">
        <v>124</v>
      </c>
      <c r="C4" s="1058">
        <f>factYear</f>
        <v>2017</v>
      </c>
      <c r="D4" s="1058"/>
      <c r="E4" s="1058">
        <f>currYear</f>
        <v>2018</v>
      </c>
      <c r="F4" s="1058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</row>
    <row r="5" spans="1:10" ht="25.5" customHeight="1">
      <c r="A5" s="1122"/>
      <c r="B5" s="845"/>
      <c r="C5" s="40" t="s">
        <v>190</v>
      </c>
      <c r="D5" s="40" t="s">
        <v>191</v>
      </c>
      <c r="E5" s="40" t="s">
        <v>190</v>
      </c>
      <c r="F5" s="40" t="s">
        <v>192</v>
      </c>
      <c r="G5" s="40" t="s">
        <v>1</v>
      </c>
      <c r="H5" s="40" t="s">
        <v>2</v>
      </c>
      <c r="I5" s="40" t="s">
        <v>1</v>
      </c>
      <c r="J5" s="40" t="s">
        <v>2</v>
      </c>
    </row>
    <row r="6" spans="1:10" ht="12.75">
      <c r="A6" s="28"/>
      <c r="B6" s="56" t="s">
        <v>125</v>
      </c>
      <c r="C6" s="554">
        <f aca="true" t="shared" si="0" ref="C6:J6">C7+SUM(C15:C22)</f>
        <v>0</v>
      </c>
      <c r="D6" s="554">
        <f t="shared" si="0"/>
        <v>-11.4</v>
      </c>
      <c r="E6" s="554">
        <f t="shared" si="0"/>
        <v>0</v>
      </c>
      <c r="F6" s="554">
        <f t="shared" si="0"/>
        <v>0</v>
      </c>
      <c r="G6" s="554">
        <f t="shared" si="0"/>
        <v>5.45</v>
      </c>
      <c r="H6" s="554">
        <f t="shared" si="0"/>
        <v>0</v>
      </c>
      <c r="I6" s="554">
        <f t="shared" si="0"/>
        <v>10</v>
      </c>
      <c r="J6" s="554">
        <f t="shared" si="0"/>
        <v>0</v>
      </c>
    </row>
    <row r="7" spans="1:10" ht="38.25">
      <c r="A7" s="148">
        <v>1</v>
      </c>
      <c r="B7" s="56" t="s">
        <v>126</v>
      </c>
      <c r="C7" s="554">
        <f>SUM(C8:C14)</f>
        <v>0</v>
      </c>
      <c r="D7" s="554">
        <f aca="true" t="shared" si="1" ref="D7:J7">SUM(D8:D14)</f>
        <v>0.2</v>
      </c>
      <c r="E7" s="554">
        <f t="shared" si="1"/>
        <v>0</v>
      </c>
      <c r="F7" s="554">
        <f t="shared" si="1"/>
        <v>0</v>
      </c>
      <c r="G7" s="554">
        <f t="shared" si="1"/>
        <v>0.2</v>
      </c>
      <c r="H7" s="554">
        <f t="shared" si="1"/>
        <v>0</v>
      </c>
      <c r="I7" s="554">
        <f t="shared" si="1"/>
        <v>1.3</v>
      </c>
      <c r="J7" s="554">
        <f t="shared" si="1"/>
        <v>0</v>
      </c>
    </row>
    <row r="8" spans="1:10" ht="12.75">
      <c r="A8" s="62" t="s">
        <v>10</v>
      </c>
      <c r="B8" s="28" t="s">
        <v>221</v>
      </c>
      <c r="C8" s="378"/>
      <c r="D8" s="378">
        <v>0.1</v>
      </c>
      <c r="E8" s="378"/>
      <c r="F8" s="378"/>
      <c r="G8" s="378">
        <v>0.1</v>
      </c>
      <c r="H8" s="378"/>
      <c r="I8" s="378">
        <v>0.8</v>
      </c>
      <c r="J8" s="378"/>
    </row>
    <row r="9" spans="1:10" ht="12.75">
      <c r="A9" s="62" t="s">
        <v>20</v>
      </c>
      <c r="B9" s="28" t="s">
        <v>127</v>
      </c>
      <c r="C9" s="378"/>
      <c r="D9" s="378"/>
      <c r="E9" s="378"/>
      <c r="F9" s="378"/>
      <c r="G9" s="378"/>
      <c r="H9" s="378"/>
      <c r="I9" s="378"/>
      <c r="J9" s="378"/>
    </row>
    <row r="10" spans="1:10" ht="12.75">
      <c r="A10" s="62" t="s">
        <v>22</v>
      </c>
      <c r="B10" s="28" t="s">
        <v>222</v>
      </c>
      <c r="C10" s="378"/>
      <c r="D10" s="378"/>
      <c r="E10" s="378"/>
      <c r="F10" s="378"/>
      <c r="G10" s="378"/>
      <c r="H10" s="378"/>
      <c r="I10" s="378"/>
      <c r="J10" s="378"/>
    </row>
    <row r="11" spans="1:10" ht="12.75">
      <c r="A11" s="62" t="s">
        <v>28</v>
      </c>
      <c r="B11" s="28" t="s">
        <v>223</v>
      </c>
      <c r="C11" s="378"/>
      <c r="D11" s="378"/>
      <c r="E11" s="378"/>
      <c r="F11" s="378"/>
      <c r="G11" s="378"/>
      <c r="H11" s="378"/>
      <c r="I11" s="378"/>
      <c r="J11" s="378"/>
    </row>
    <row r="12" spans="1:10" ht="25.5">
      <c r="A12" s="62" t="s">
        <v>30</v>
      </c>
      <c r="B12" s="28" t="s">
        <v>224</v>
      </c>
      <c r="C12" s="378"/>
      <c r="D12" s="378"/>
      <c r="E12" s="378"/>
      <c r="F12" s="378"/>
      <c r="G12" s="378"/>
      <c r="H12" s="378"/>
      <c r="I12" s="378"/>
      <c r="J12" s="378"/>
    </row>
    <row r="13" spans="1:10" ht="12.75">
      <c r="A13" s="62" t="s">
        <v>36</v>
      </c>
      <c r="B13" s="28" t="s">
        <v>225</v>
      </c>
      <c r="C13" s="378"/>
      <c r="D13" s="378">
        <v>0.1</v>
      </c>
      <c r="E13" s="378"/>
      <c r="F13" s="378"/>
      <c r="G13" s="378">
        <v>0.1</v>
      </c>
      <c r="H13" s="378"/>
      <c r="I13" s="378">
        <v>0.5</v>
      </c>
      <c r="J13" s="378"/>
    </row>
    <row r="14" spans="1:10" ht="12.75">
      <c r="A14" s="62" t="s">
        <v>38</v>
      </c>
      <c r="B14" s="28" t="s">
        <v>128</v>
      </c>
      <c r="C14" s="378"/>
      <c r="D14" s="378"/>
      <c r="E14" s="378"/>
      <c r="F14" s="378"/>
      <c r="G14" s="378"/>
      <c r="H14" s="378"/>
      <c r="I14" s="378"/>
      <c r="J14" s="378"/>
    </row>
    <row r="15" spans="1:10" ht="89.25">
      <c r="A15" s="148" t="s">
        <v>110</v>
      </c>
      <c r="B15" s="56" t="s">
        <v>475</v>
      </c>
      <c r="C15" s="378"/>
      <c r="D15" s="378"/>
      <c r="E15" s="378"/>
      <c r="F15" s="378"/>
      <c r="G15" s="378"/>
      <c r="H15" s="378"/>
      <c r="I15" s="378"/>
      <c r="J15" s="378"/>
    </row>
    <row r="16" spans="1:10" ht="12.75">
      <c r="A16" s="148" t="s">
        <v>122</v>
      </c>
      <c r="B16" s="56" t="s">
        <v>130</v>
      </c>
      <c r="C16" s="378"/>
      <c r="D16" s="378"/>
      <c r="E16" s="378"/>
      <c r="F16" s="378"/>
      <c r="G16" s="378"/>
      <c r="H16" s="378"/>
      <c r="I16" s="378"/>
      <c r="J16" s="378"/>
    </row>
    <row r="17" spans="1:10" ht="12.75">
      <c r="A17" s="148" t="s">
        <v>123</v>
      </c>
      <c r="B17" s="56" t="s">
        <v>136</v>
      </c>
      <c r="C17" s="378"/>
      <c r="D17" s="378">
        <v>0.1</v>
      </c>
      <c r="E17" s="378"/>
      <c r="F17" s="378"/>
      <c r="G17" s="378">
        <v>0.1</v>
      </c>
      <c r="H17" s="378"/>
      <c r="I17" s="378">
        <v>0.4</v>
      </c>
      <c r="J17" s="378"/>
    </row>
    <row r="18" spans="1:10" ht="12.75">
      <c r="A18" s="148" t="s">
        <v>129</v>
      </c>
      <c r="B18" s="56" t="s">
        <v>132</v>
      </c>
      <c r="C18" s="378"/>
      <c r="D18" s="378">
        <v>0.3</v>
      </c>
      <c r="E18" s="378"/>
      <c r="F18" s="378"/>
      <c r="G18" s="378">
        <v>0.3</v>
      </c>
      <c r="H18" s="378"/>
      <c r="I18" s="378">
        <v>0.5</v>
      </c>
      <c r="J18" s="378"/>
    </row>
    <row r="19" spans="1:10" ht="25.5">
      <c r="A19" s="148" t="s">
        <v>131</v>
      </c>
      <c r="B19" s="56" t="s">
        <v>261</v>
      </c>
      <c r="C19" s="378"/>
      <c r="D19" s="378"/>
      <c r="E19" s="378"/>
      <c r="F19" s="378"/>
      <c r="G19" s="378"/>
      <c r="H19" s="378"/>
      <c r="I19" s="378"/>
      <c r="J19" s="378"/>
    </row>
    <row r="20" spans="1:10" ht="12.75">
      <c r="A20" s="148" t="s">
        <v>133</v>
      </c>
      <c r="B20" s="56" t="s">
        <v>134</v>
      </c>
      <c r="C20" s="378"/>
      <c r="D20" s="378">
        <v>-12</v>
      </c>
      <c r="E20" s="378"/>
      <c r="F20" s="378"/>
      <c r="G20" s="378">
        <v>4.45</v>
      </c>
      <c r="H20" s="378"/>
      <c r="I20" s="378">
        <v>7.4</v>
      </c>
      <c r="J20" s="378"/>
    </row>
    <row r="21" spans="1:10" ht="12.75">
      <c r="A21" s="214" t="s">
        <v>263</v>
      </c>
      <c r="B21" s="215" t="s">
        <v>683</v>
      </c>
      <c r="C21" s="378"/>
      <c r="D21" s="378"/>
      <c r="E21" s="378"/>
      <c r="F21" s="378"/>
      <c r="G21" s="378">
        <v>0.4</v>
      </c>
      <c r="H21" s="378"/>
      <c r="I21" s="378">
        <v>0.4</v>
      </c>
      <c r="J21" s="378"/>
    </row>
    <row r="22" spans="1:27" s="68" customFormat="1" ht="12.75">
      <c r="A22" s="1083" t="s">
        <v>335</v>
      </c>
      <c r="B22" s="1083"/>
      <c r="C22" s="1083"/>
      <c r="D22" s="1083"/>
      <c r="E22" s="1083"/>
      <c r="F22" s="1083"/>
      <c r="G22" s="1083"/>
      <c r="H22" s="1083"/>
      <c r="I22" s="1083"/>
      <c r="J22" s="1083"/>
      <c r="K22" s="16"/>
      <c r="L22" s="16"/>
      <c r="M22" s="16"/>
      <c r="S22" s="16"/>
      <c r="T22" s="16"/>
      <c r="U22" s="16"/>
      <c r="V22" s="16"/>
      <c r="W22" s="16"/>
      <c r="X22" s="16"/>
      <c r="Y22" s="67"/>
      <c r="Z22" s="67"/>
      <c r="AA22" s="67"/>
    </row>
    <row r="23" spans="1:10" ht="12.75">
      <c r="A23" s="38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38"/>
      <c r="B24" s="1120" t="s">
        <v>476</v>
      </c>
      <c r="C24" s="1120"/>
      <c r="D24" s="1120"/>
      <c r="E24" s="1120"/>
      <c r="F24" s="1120"/>
      <c r="G24" s="1120"/>
      <c r="H24" s="1120"/>
      <c r="I24" s="1120"/>
      <c r="J24" s="1120"/>
    </row>
    <row r="25" spans="1:10" ht="12.75">
      <c r="A25" s="38"/>
      <c r="B25" s="29"/>
      <c r="C25" s="29"/>
      <c r="D25" s="29"/>
      <c r="E25" s="29"/>
      <c r="F25" s="29"/>
      <c r="G25" s="29"/>
      <c r="H25" s="29"/>
      <c r="I25" s="29"/>
      <c r="J25" s="29"/>
    </row>
    <row r="26" spans="1:15" s="81" customFormat="1" ht="13.5" customHeight="1">
      <c r="A26" s="1077" t="s">
        <v>428</v>
      </c>
      <c r="B26" s="1077"/>
      <c r="C26" s="1077"/>
      <c r="D26" s="1077"/>
      <c r="E26" s="1077"/>
      <c r="F26" s="1077"/>
      <c r="G26" s="1077"/>
      <c r="H26" s="1077"/>
      <c r="I26" s="1077"/>
      <c r="J26" s="1077"/>
      <c r="K26" s="27"/>
      <c r="L26" s="27"/>
      <c r="M26" s="27"/>
      <c r="N26" s="29"/>
      <c r="O26" s="29"/>
    </row>
    <row r="27" spans="1:15" s="81" customFormat="1" ht="12.75" customHeight="1">
      <c r="A27" s="980" t="s">
        <v>429</v>
      </c>
      <c r="B27" s="980"/>
      <c r="C27" s="980"/>
      <c r="D27" s="980"/>
      <c r="E27" s="980"/>
      <c r="F27" s="980"/>
      <c r="G27" s="980"/>
      <c r="H27" s="980"/>
      <c r="I27" s="980"/>
      <c r="J27" s="980"/>
      <c r="K27" s="15"/>
      <c r="L27" s="15"/>
      <c r="M27" s="15"/>
      <c r="N27" s="15"/>
      <c r="O27" s="15"/>
    </row>
    <row r="28" spans="1:10" ht="12.75">
      <c r="A28" s="38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38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38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2.75">
      <c r="A31" s="38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38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38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38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38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38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.7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2.7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2.7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2.75">
      <c r="A42" s="29"/>
      <c r="B42" s="29"/>
      <c r="C42" s="29"/>
      <c r="D42" s="29"/>
      <c r="E42" s="29"/>
      <c r="F42" s="29"/>
      <c r="G42" s="29"/>
      <c r="H42" s="29"/>
      <c r="I42" s="29"/>
      <c r="J42" s="29"/>
    </row>
  </sheetData>
  <sheetProtection password="C8D1" sheet="1" scenarios="1" formatRows="0"/>
  <mergeCells count="13">
    <mergeCell ref="I4:J4"/>
    <mergeCell ref="A26:J26"/>
    <mergeCell ref="A27:J27"/>
    <mergeCell ref="A1:I1"/>
    <mergeCell ref="B24:J24"/>
    <mergeCell ref="A2:I2"/>
    <mergeCell ref="G4:H4"/>
    <mergeCell ref="A4:A5"/>
    <mergeCell ref="B4:B5"/>
    <mergeCell ref="A22:J22"/>
    <mergeCell ref="C4:D4"/>
    <mergeCell ref="E4:F4"/>
    <mergeCell ref="A3:J3"/>
  </mergeCells>
  <hyperlinks>
    <hyperlink ref="A22" tooltip="Кликните по гиперссылке для добавления новой строки" display="Добавить строки"/>
  </hyperlinks>
  <printOptions/>
  <pageMargins left="0.15748031496062992" right="0" top="0" bottom="0" header="0" footer="0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6"/>
  <dimension ref="A1:AA2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1" sqref="G21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3" width="11.57421875" style="27" customWidth="1"/>
    <col min="4" max="4" width="11.8515625" style="27" customWidth="1"/>
    <col min="5" max="5" width="12.140625" style="27" customWidth="1"/>
    <col min="6" max="6" width="13.00390625" style="27" customWidth="1"/>
    <col min="7" max="7" width="12.57421875" style="27" customWidth="1"/>
    <col min="8" max="8" width="12.8515625" style="27" customWidth="1"/>
    <col min="9" max="10" width="13.28125" style="27" customWidth="1"/>
    <col min="11" max="11" width="13.00390625" style="27" customWidth="1"/>
    <col min="12" max="12" width="12.8515625" style="27" customWidth="1"/>
    <col min="13" max="13" width="12.57421875" style="27" customWidth="1"/>
    <col min="14" max="14" width="12.421875" style="27" customWidth="1"/>
    <col min="15" max="23" width="13.00390625" style="27" customWidth="1"/>
    <col min="24" max="24" width="12.7109375" style="27" customWidth="1"/>
    <col min="25" max="25" width="13.28125" style="27" customWidth="1"/>
    <col min="26" max="27" width="12.57421875" style="27" customWidth="1"/>
    <col min="28" max="16384" width="9.140625" style="27" customWidth="1"/>
  </cols>
  <sheetData>
    <row r="1" spans="1:27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</row>
    <row r="2" spans="1:27" ht="12.75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34"/>
      <c r="O2" s="34"/>
      <c r="P2" s="34"/>
      <c r="Q2" s="34"/>
      <c r="R2" s="34"/>
      <c r="S2" s="34"/>
      <c r="T2" s="34"/>
      <c r="U2" s="34"/>
      <c r="V2" s="34"/>
      <c r="W2" s="34"/>
      <c r="AA2" s="34"/>
    </row>
    <row r="3" spans="1:27" ht="26.25" customHeight="1">
      <c r="A3" s="1097" t="s">
        <v>226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</row>
    <row r="4" spans="1:27" ht="22.5" customHeight="1">
      <c r="A4" s="1122" t="s">
        <v>5</v>
      </c>
      <c r="B4" s="845" t="s">
        <v>124</v>
      </c>
      <c r="C4" s="1006" t="s">
        <v>345</v>
      </c>
      <c r="D4" s="1058">
        <f>factYear</f>
        <v>2017</v>
      </c>
      <c r="E4" s="1058"/>
      <c r="F4" s="1058">
        <f>currYear</f>
        <v>2018</v>
      </c>
      <c r="G4" s="1058"/>
      <c r="H4" s="1062" t="str">
        <f>Заголовок!D17</f>
        <v>01.01.2019-30.06.2019</v>
      </c>
      <c r="I4" s="1058"/>
      <c r="J4" s="1062" t="str">
        <f>Заголовок!E17</f>
        <v>01.07.2019-31.12.2019</v>
      </c>
      <c r="K4" s="1058"/>
      <c r="L4" s="1062" t="str">
        <f>Заголовок!D18</f>
        <v>01.01.2020-30.06.2020</v>
      </c>
      <c r="M4" s="1058"/>
      <c r="N4" s="1062" t="str">
        <f>Заголовок!E18</f>
        <v>01.07.2020-31.12.2020</v>
      </c>
      <c r="O4" s="1058"/>
      <c r="P4" s="1023" t="str">
        <f>Заголовок!D19</f>
        <v>01.01.2021-30.06.2021</v>
      </c>
      <c r="Q4" s="1022"/>
      <c r="R4" s="1023" t="str">
        <f>Заголовок!E19</f>
        <v>01.07.2021-31.12.2021</v>
      </c>
      <c r="S4" s="1022"/>
      <c r="T4" s="1023" t="str">
        <f>Заголовок!D20</f>
        <v>01.01.2022-30.06.2022</v>
      </c>
      <c r="U4" s="1022"/>
      <c r="V4" s="1023" t="str">
        <f>Заголовок!E20</f>
        <v>01.07.2022-31.12.2022</v>
      </c>
      <c r="W4" s="1022"/>
      <c r="X4" s="1062" t="str">
        <f>Заголовок!D21</f>
        <v>01.01.2023-30.06.2023</v>
      </c>
      <c r="Y4" s="1058"/>
      <c r="Z4" s="1062" t="str">
        <f>Заголовок!E21</f>
        <v>01.07.2023-31.12.2023</v>
      </c>
      <c r="AA4" s="1058"/>
    </row>
    <row r="5" spans="1:27" ht="30" customHeight="1">
      <c r="A5" s="1122"/>
      <c r="B5" s="845"/>
      <c r="C5" s="1008"/>
      <c r="D5" s="40" t="s">
        <v>190</v>
      </c>
      <c r="E5" s="40" t="s">
        <v>191</v>
      </c>
      <c r="F5" s="40" t="s">
        <v>190</v>
      </c>
      <c r="G5" s="40" t="s">
        <v>192</v>
      </c>
      <c r="H5" s="40" t="s">
        <v>1</v>
      </c>
      <c r="I5" s="40" t="s">
        <v>2</v>
      </c>
      <c r="J5" s="40" t="s">
        <v>1</v>
      </c>
      <c r="K5" s="40" t="s">
        <v>2</v>
      </c>
      <c r="L5" s="40" t="s">
        <v>1</v>
      </c>
      <c r="M5" s="40" t="s">
        <v>2</v>
      </c>
      <c r="N5" s="40" t="s">
        <v>1</v>
      </c>
      <c r="O5" s="40" t="s">
        <v>2</v>
      </c>
      <c r="P5" s="40" t="s">
        <v>1</v>
      </c>
      <c r="Q5" s="40" t="s">
        <v>2</v>
      </c>
      <c r="R5" s="40" t="s">
        <v>1</v>
      </c>
      <c r="S5" s="40" t="s">
        <v>2</v>
      </c>
      <c r="T5" s="40" t="s">
        <v>1</v>
      </c>
      <c r="U5" s="40" t="s">
        <v>2</v>
      </c>
      <c r="V5" s="40" t="s">
        <v>1</v>
      </c>
      <c r="W5" s="40" t="s">
        <v>2</v>
      </c>
      <c r="X5" s="40" t="s">
        <v>1</v>
      </c>
      <c r="Y5" s="40" t="s">
        <v>2</v>
      </c>
      <c r="Z5" s="40" t="s">
        <v>1</v>
      </c>
      <c r="AA5" s="40" t="s">
        <v>2</v>
      </c>
    </row>
    <row r="6" spans="1:27" ht="42" customHeight="1">
      <c r="A6" s="207"/>
      <c r="B6" s="56" t="s">
        <v>227</v>
      </c>
      <c r="C6" s="550" t="s">
        <v>109</v>
      </c>
      <c r="D6" s="554">
        <f>D7+D11+D12+D13</f>
        <v>14.45</v>
      </c>
      <c r="E6" s="554">
        <f>E7+E11+E12+E13</f>
        <v>0</v>
      </c>
      <c r="F6" s="554">
        <f>F7+F11+F12+F13</f>
        <v>0</v>
      </c>
      <c r="G6" s="554">
        <f aca="true" t="shared" si="0" ref="G6:AA6">G7+G11+G12+G13</f>
        <v>1.1</v>
      </c>
      <c r="H6" s="554">
        <f t="shared" si="0"/>
        <v>1.1</v>
      </c>
      <c r="I6" s="554">
        <f t="shared" si="0"/>
        <v>0</v>
      </c>
      <c r="J6" s="554">
        <f t="shared" si="0"/>
        <v>1.1</v>
      </c>
      <c r="K6" s="554">
        <f t="shared" si="0"/>
        <v>0</v>
      </c>
      <c r="L6" s="554">
        <f t="shared" si="0"/>
        <v>1.1</v>
      </c>
      <c r="M6" s="554">
        <f t="shared" si="0"/>
        <v>0</v>
      </c>
      <c r="N6" s="554">
        <f t="shared" si="0"/>
        <v>1.1</v>
      </c>
      <c r="O6" s="554">
        <f t="shared" si="0"/>
        <v>0</v>
      </c>
      <c r="P6" s="554">
        <f t="shared" si="0"/>
        <v>1.1</v>
      </c>
      <c r="Q6" s="554">
        <f t="shared" si="0"/>
        <v>0</v>
      </c>
      <c r="R6" s="554">
        <f t="shared" si="0"/>
        <v>1.1</v>
      </c>
      <c r="S6" s="554">
        <f t="shared" si="0"/>
        <v>0</v>
      </c>
      <c r="T6" s="554">
        <f t="shared" si="0"/>
        <v>1.1</v>
      </c>
      <c r="U6" s="554">
        <f t="shared" si="0"/>
        <v>0</v>
      </c>
      <c r="V6" s="554">
        <f t="shared" si="0"/>
        <v>1.1</v>
      </c>
      <c r="W6" s="554">
        <f t="shared" si="0"/>
        <v>0</v>
      </c>
      <c r="X6" s="554">
        <f t="shared" si="0"/>
        <v>1.1</v>
      </c>
      <c r="Y6" s="554">
        <f t="shared" si="0"/>
        <v>0</v>
      </c>
      <c r="Z6" s="554">
        <f t="shared" si="0"/>
        <v>1.1</v>
      </c>
      <c r="AA6" s="554">
        <f t="shared" si="0"/>
        <v>0</v>
      </c>
    </row>
    <row r="7" spans="1:27" ht="40.5" customHeight="1">
      <c r="A7" s="551">
        <v>1</v>
      </c>
      <c r="B7" s="134" t="s">
        <v>346</v>
      </c>
      <c r="C7" s="550" t="s">
        <v>109</v>
      </c>
      <c r="D7" s="554">
        <f>D9+D10</f>
        <v>0</v>
      </c>
      <c r="E7" s="554">
        <f>E9+E10</f>
        <v>0</v>
      </c>
      <c r="F7" s="554">
        <f>F9+F10</f>
        <v>0</v>
      </c>
      <c r="G7" s="554">
        <f aca="true" t="shared" si="1" ref="G7:AA7">G9+G10</f>
        <v>0</v>
      </c>
      <c r="H7" s="554">
        <f t="shared" si="1"/>
        <v>0</v>
      </c>
      <c r="I7" s="554">
        <f t="shared" si="1"/>
        <v>0</v>
      </c>
      <c r="J7" s="554">
        <f t="shared" si="1"/>
        <v>0</v>
      </c>
      <c r="K7" s="554">
        <f t="shared" si="1"/>
        <v>0</v>
      </c>
      <c r="L7" s="554">
        <f t="shared" si="1"/>
        <v>0</v>
      </c>
      <c r="M7" s="554">
        <f t="shared" si="1"/>
        <v>0</v>
      </c>
      <c r="N7" s="554">
        <f t="shared" si="1"/>
        <v>0</v>
      </c>
      <c r="O7" s="554">
        <f t="shared" si="1"/>
        <v>0</v>
      </c>
      <c r="P7" s="554">
        <f t="shared" si="1"/>
        <v>0</v>
      </c>
      <c r="Q7" s="554">
        <f t="shared" si="1"/>
        <v>0</v>
      </c>
      <c r="R7" s="554">
        <f t="shared" si="1"/>
        <v>0</v>
      </c>
      <c r="S7" s="554">
        <f t="shared" si="1"/>
        <v>0</v>
      </c>
      <c r="T7" s="554">
        <f t="shared" si="1"/>
        <v>0</v>
      </c>
      <c r="U7" s="554">
        <f t="shared" si="1"/>
        <v>0</v>
      </c>
      <c r="V7" s="554">
        <f t="shared" si="1"/>
        <v>0</v>
      </c>
      <c r="W7" s="554">
        <f t="shared" si="1"/>
        <v>0</v>
      </c>
      <c r="X7" s="554">
        <f t="shared" si="1"/>
        <v>0</v>
      </c>
      <c r="Y7" s="554">
        <f t="shared" si="1"/>
        <v>0</v>
      </c>
      <c r="Z7" s="554">
        <f t="shared" si="1"/>
        <v>0</v>
      </c>
      <c r="AA7" s="554">
        <f t="shared" si="1"/>
        <v>0</v>
      </c>
    </row>
    <row r="8" spans="1:27" ht="13.5" customHeight="1">
      <c r="A8" s="552"/>
      <c r="B8" s="28" t="s">
        <v>311</v>
      </c>
      <c r="C8" s="28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</row>
    <row r="9" spans="1:27" ht="25.5" customHeight="1">
      <c r="A9" s="552" t="s">
        <v>10</v>
      </c>
      <c r="B9" s="28" t="s">
        <v>340</v>
      </c>
      <c r="C9" s="101" t="s">
        <v>109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</row>
    <row r="10" spans="1:27" ht="22.5" customHeight="1">
      <c r="A10" s="552" t="s">
        <v>20</v>
      </c>
      <c r="B10" s="28" t="s">
        <v>341</v>
      </c>
      <c r="C10" s="101" t="s">
        <v>109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</row>
    <row r="11" spans="1:27" ht="15" customHeight="1">
      <c r="A11" s="552" t="s">
        <v>110</v>
      </c>
      <c r="B11" s="28" t="s">
        <v>342</v>
      </c>
      <c r="C11" s="101" t="s">
        <v>109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</row>
    <row r="12" spans="1:27" ht="17.25" customHeight="1">
      <c r="A12" s="552" t="s">
        <v>122</v>
      </c>
      <c r="B12" s="28" t="s">
        <v>228</v>
      </c>
      <c r="C12" s="101" t="s">
        <v>109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</row>
    <row r="13" spans="1:27" ht="23.25" customHeight="1">
      <c r="A13" s="551" t="s">
        <v>123</v>
      </c>
      <c r="B13" s="134" t="s">
        <v>229</v>
      </c>
      <c r="C13" s="101" t="s">
        <v>109</v>
      </c>
      <c r="D13" s="554">
        <f>+D15*D16/100</f>
        <v>14.45</v>
      </c>
      <c r="E13" s="554">
        <f>+E15*E16/100</f>
        <v>0</v>
      </c>
      <c r="F13" s="554">
        <f>+F15*F16/100</f>
        <v>0</v>
      </c>
      <c r="G13" s="554">
        <f aca="true" t="shared" si="2" ref="G13:AA13">+G15*G16/100</f>
        <v>1.1</v>
      </c>
      <c r="H13" s="554">
        <f t="shared" si="2"/>
        <v>1.1</v>
      </c>
      <c r="I13" s="554">
        <f t="shared" si="2"/>
        <v>0</v>
      </c>
      <c r="J13" s="554">
        <f t="shared" si="2"/>
        <v>1.1</v>
      </c>
      <c r="K13" s="554">
        <f t="shared" si="2"/>
        <v>0</v>
      </c>
      <c r="L13" s="554">
        <f t="shared" si="2"/>
        <v>1.1</v>
      </c>
      <c r="M13" s="554">
        <f t="shared" si="2"/>
        <v>0</v>
      </c>
      <c r="N13" s="554">
        <f t="shared" si="2"/>
        <v>1.1</v>
      </c>
      <c r="O13" s="554">
        <f t="shared" si="2"/>
        <v>0</v>
      </c>
      <c r="P13" s="554">
        <f t="shared" si="2"/>
        <v>1.1</v>
      </c>
      <c r="Q13" s="554">
        <f t="shared" si="2"/>
        <v>0</v>
      </c>
      <c r="R13" s="554">
        <f t="shared" si="2"/>
        <v>1.1</v>
      </c>
      <c r="S13" s="554">
        <f t="shared" si="2"/>
        <v>0</v>
      </c>
      <c r="T13" s="554">
        <f t="shared" si="2"/>
        <v>1.1</v>
      </c>
      <c r="U13" s="554">
        <f t="shared" si="2"/>
        <v>0</v>
      </c>
      <c r="V13" s="554">
        <f t="shared" si="2"/>
        <v>1.1</v>
      </c>
      <c r="W13" s="554">
        <f t="shared" si="2"/>
        <v>0</v>
      </c>
      <c r="X13" s="554">
        <f t="shared" si="2"/>
        <v>1.1</v>
      </c>
      <c r="Y13" s="554">
        <f t="shared" si="2"/>
        <v>0</v>
      </c>
      <c r="Z13" s="554">
        <f t="shared" si="2"/>
        <v>1.1</v>
      </c>
      <c r="AA13" s="554">
        <f t="shared" si="2"/>
        <v>0</v>
      </c>
    </row>
    <row r="14" spans="1:27" ht="12.75">
      <c r="A14" s="552"/>
      <c r="B14" s="28" t="s">
        <v>311</v>
      </c>
      <c r="C14" s="101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</row>
    <row r="15" spans="1:27" ht="12.75">
      <c r="A15" s="552" t="s">
        <v>80</v>
      </c>
      <c r="B15" s="28" t="s">
        <v>343</v>
      </c>
      <c r="C15" s="101" t="s">
        <v>109</v>
      </c>
      <c r="D15" s="378">
        <v>4815</v>
      </c>
      <c r="E15" s="378"/>
      <c r="F15" s="378"/>
      <c r="G15" s="378">
        <v>366.6</v>
      </c>
      <c r="H15" s="378">
        <v>366.6</v>
      </c>
      <c r="I15" s="378"/>
      <c r="J15" s="378">
        <v>366.6</v>
      </c>
      <c r="K15" s="378"/>
      <c r="L15" s="378">
        <v>366.6</v>
      </c>
      <c r="M15" s="378"/>
      <c r="N15" s="378">
        <v>366.6</v>
      </c>
      <c r="O15" s="378"/>
      <c r="P15" s="378">
        <v>366.6</v>
      </c>
      <c r="Q15" s="378"/>
      <c r="R15" s="378">
        <v>366.6</v>
      </c>
      <c r="S15" s="378"/>
      <c r="T15" s="378">
        <v>366.6</v>
      </c>
      <c r="U15" s="378"/>
      <c r="V15" s="378">
        <v>366.6</v>
      </c>
      <c r="W15" s="378"/>
      <c r="X15" s="378">
        <v>366.6</v>
      </c>
      <c r="Y15" s="378"/>
      <c r="Z15" s="378">
        <v>366.6</v>
      </c>
      <c r="AA15" s="378"/>
    </row>
    <row r="16" spans="1:27" ht="12.75">
      <c r="A16" s="552" t="s">
        <v>81</v>
      </c>
      <c r="B16" s="28" t="s">
        <v>344</v>
      </c>
      <c r="C16" s="101" t="s">
        <v>206</v>
      </c>
      <c r="D16" s="378">
        <v>0.3</v>
      </c>
      <c r="E16" s="378"/>
      <c r="F16" s="378"/>
      <c r="G16" s="378">
        <v>0.3</v>
      </c>
      <c r="H16" s="378">
        <v>0.3</v>
      </c>
      <c r="I16" s="378"/>
      <c r="J16" s="378">
        <v>0.3</v>
      </c>
      <c r="K16" s="378"/>
      <c r="L16" s="378">
        <v>0.3</v>
      </c>
      <c r="M16" s="378"/>
      <c r="N16" s="378">
        <v>0.3</v>
      </c>
      <c r="O16" s="378"/>
      <c r="P16" s="378">
        <v>0.3</v>
      </c>
      <c r="Q16" s="378"/>
      <c r="R16" s="378">
        <v>0.3</v>
      </c>
      <c r="S16" s="378"/>
      <c r="T16" s="378">
        <v>0.3</v>
      </c>
      <c r="U16" s="378"/>
      <c r="V16" s="378">
        <v>0.3</v>
      </c>
      <c r="W16" s="378"/>
      <c r="X16" s="378">
        <v>0.3</v>
      </c>
      <c r="Y16" s="378"/>
      <c r="Z16" s="378">
        <v>0.3</v>
      </c>
      <c r="AA16" s="378"/>
    </row>
    <row r="19" spans="1:27" s="81" customFormat="1" ht="13.5" customHeight="1">
      <c r="A19" s="1077" t="s">
        <v>428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7"/>
      <c r="P19" s="1077"/>
      <c r="Q19" s="1077"/>
      <c r="R19" s="1077"/>
      <c r="S19" s="1077"/>
      <c r="T19" s="1077"/>
      <c r="U19" s="1077"/>
      <c r="V19" s="1077"/>
      <c r="W19" s="1077"/>
      <c r="X19" s="1077"/>
      <c r="Y19" s="1077"/>
      <c r="Z19" s="1077"/>
      <c r="AA19" s="1077"/>
    </row>
    <row r="20" spans="1:27" s="81" customFormat="1" ht="12.75" customHeight="1">
      <c r="A20" s="980" t="s">
        <v>429</v>
      </c>
      <c r="B20" s="980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</row>
  </sheetData>
  <sheetProtection password="C8D1" sheet="1" scenarios="1" formatRows="0"/>
  <mergeCells count="20">
    <mergeCell ref="A3:AA3"/>
    <mergeCell ref="P4:Q4"/>
    <mergeCell ref="R4:S4"/>
    <mergeCell ref="T4:U4"/>
    <mergeCell ref="V4:W4"/>
    <mergeCell ref="A4:A5"/>
    <mergeCell ref="B4:B5"/>
    <mergeCell ref="H4:I4"/>
    <mergeCell ref="J4:K4"/>
    <mergeCell ref="C4:C5"/>
    <mergeCell ref="A1:AA1"/>
    <mergeCell ref="A19:AA19"/>
    <mergeCell ref="A20:AA20"/>
    <mergeCell ref="L4:M4"/>
    <mergeCell ref="N4:O4"/>
    <mergeCell ref="X4:Y4"/>
    <mergeCell ref="Z4:AA4"/>
    <mergeCell ref="D4:E4"/>
    <mergeCell ref="F4:G4"/>
    <mergeCell ref="A2:J2"/>
  </mergeCells>
  <printOptions/>
  <pageMargins left="0.15748031496062992" right="0" top="0.1968503937007874" bottom="0.3937007874015748" header="0" footer="0"/>
  <pageSetup horizontalDpi="600" verticalDpi="600" orientation="landscape" paperSize="9" scale="4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_tax"/>
  <dimension ref="A1:AH19"/>
  <sheetViews>
    <sheetView zoomScale="90" zoomScaleNormal="90" zoomScalePageLayoutView="0" workbookViewId="0" topLeftCell="A1">
      <pane xSplit="2" ySplit="5" topLeftCell="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3" sqref="X13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26" width="14.00390625" style="27" customWidth="1"/>
    <col min="27" max="16384" width="9.140625" style="27" customWidth="1"/>
  </cols>
  <sheetData>
    <row r="1" spans="1:26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</row>
    <row r="2" spans="1:26" ht="12.75">
      <c r="A2" s="839"/>
      <c r="B2" s="839"/>
      <c r="C2" s="839"/>
      <c r="D2" s="839"/>
      <c r="E2" s="839"/>
      <c r="F2" s="839"/>
      <c r="G2" s="839"/>
      <c r="H2" s="839"/>
      <c r="I2" s="839"/>
      <c r="J2" s="34"/>
      <c r="N2" s="34"/>
      <c r="Z2" s="34"/>
    </row>
    <row r="3" spans="1:15" ht="15">
      <c r="A3" s="1123" t="s">
        <v>230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</row>
    <row r="4" spans="1:26" ht="22.5" customHeight="1">
      <c r="A4" s="1121" t="s">
        <v>5</v>
      </c>
      <c r="B4" s="809" t="s">
        <v>124</v>
      </c>
      <c r="C4" s="1127">
        <f>factYear</f>
        <v>2017</v>
      </c>
      <c r="D4" s="1127"/>
      <c r="E4" s="1127">
        <f>currYear</f>
        <v>2018</v>
      </c>
      <c r="F4" s="1127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  <c r="K4" s="1062" t="str">
        <f>Заголовок!D18</f>
        <v>01.01.2020-30.06.2020</v>
      </c>
      <c r="L4" s="1058"/>
      <c r="M4" s="1062" t="str">
        <f>Заголовок!E18</f>
        <v>01.07.2020-31.12.2020</v>
      </c>
      <c r="N4" s="1058"/>
      <c r="O4" s="1062" t="str">
        <f>Заголовок!D19</f>
        <v>01.01.2021-30.06.2021</v>
      </c>
      <c r="P4" s="1058"/>
      <c r="Q4" s="1023" t="str">
        <f>Заголовок!E19</f>
        <v>01.07.2021-31.12.2021</v>
      </c>
      <c r="R4" s="1022"/>
      <c r="S4" s="1023" t="str">
        <f>Заголовок!D20</f>
        <v>01.01.2022-30.06.2022</v>
      </c>
      <c r="T4" s="1024"/>
      <c r="U4" s="1031" t="str">
        <f>Заголовок!E20</f>
        <v>01.07.2022-31.12.2022</v>
      </c>
      <c r="V4" s="1022"/>
      <c r="W4" s="1023" t="str">
        <f>Заголовок!D21</f>
        <v>01.01.2023-30.06.2023</v>
      </c>
      <c r="X4" s="1100"/>
      <c r="Y4" s="1062" t="str">
        <f>Заголовок!E21</f>
        <v>01.07.2023-31.12.2023</v>
      </c>
      <c r="Z4" s="1126"/>
    </row>
    <row r="5" spans="1:26" ht="25.5">
      <c r="A5" s="1121"/>
      <c r="B5" s="809"/>
      <c r="C5" s="40" t="s">
        <v>190</v>
      </c>
      <c r="D5" s="40" t="s">
        <v>191</v>
      </c>
      <c r="E5" s="40" t="s">
        <v>190</v>
      </c>
      <c r="F5" s="40" t="s">
        <v>192</v>
      </c>
      <c r="G5" s="40" t="s">
        <v>1</v>
      </c>
      <c r="H5" s="40" t="s">
        <v>2</v>
      </c>
      <c r="I5" s="40" t="s">
        <v>1</v>
      </c>
      <c r="J5" s="40" t="s">
        <v>2</v>
      </c>
      <c r="K5" s="40" t="s">
        <v>1</v>
      </c>
      <c r="L5" s="40" t="s">
        <v>2</v>
      </c>
      <c r="M5" s="40" t="s">
        <v>1</v>
      </c>
      <c r="N5" s="40" t="s">
        <v>2</v>
      </c>
      <c r="O5" s="40" t="s">
        <v>1</v>
      </c>
      <c r="P5" s="40" t="s">
        <v>2</v>
      </c>
      <c r="Q5" s="40" t="s">
        <v>1</v>
      </c>
      <c r="R5" s="40" t="s">
        <v>2</v>
      </c>
      <c r="S5" s="40" t="s">
        <v>1</v>
      </c>
      <c r="T5" s="40" t="s">
        <v>2</v>
      </c>
      <c r="U5" s="40" t="s">
        <v>1</v>
      </c>
      <c r="V5" s="40" t="s">
        <v>2</v>
      </c>
      <c r="W5" s="40" t="s">
        <v>1</v>
      </c>
      <c r="X5" s="40" t="s">
        <v>2</v>
      </c>
      <c r="Y5" s="40" t="s">
        <v>1</v>
      </c>
      <c r="Z5" s="40" t="s">
        <v>2</v>
      </c>
    </row>
    <row r="6" spans="1:26" ht="42" customHeight="1">
      <c r="A6" s="28"/>
      <c r="B6" s="56" t="s">
        <v>231</v>
      </c>
      <c r="C6" s="553">
        <f aca="true" t="shared" si="0" ref="C6:Z6">SUM(C7:C14)</f>
        <v>40.92</v>
      </c>
      <c r="D6" s="553">
        <f t="shared" si="0"/>
        <v>6.2</v>
      </c>
      <c r="E6" s="553">
        <f t="shared" si="0"/>
        <v>13.12</v>
      </c>
      <c r="F6" s="553">
        <f t="shared" si="0"/>
        <v>12.9</v>
      </c>
      <c r="G6" s="553">
        <f t="shared" si="0"/>
        <v>12.9</v>
      </c>
      <c r="H6" s="553">
        <f t="shared" si="0"/>
        <v>0</v>
      </c>
      <c r="I6" s="553">
        <f t="shared" si="0"/>
        <v>12.9</v>
      </c>
      <c r="J6" s="553">
        <f t="shared" si="0"/>
        <v>0</v>
      </c>
      <c r="K6" s="553">
        <f t="shared" si="0"/>
        <v>12.9</v>
      </c>
      <c r="L6" s="553">
        <f t="shared" si="0"/>
        <v>0</v>
      </c>
      <c r="M6" s="553">
        <f t="shared" si="0"/>
        <v>14.3</v>
      </c>
      <c r="N6" s="553">
        <f t="shared" si="0"/>
        <v>0</v>
      </c>
      <c r="O6" s="553">
        <f t="shared" si="0"/>
        <v>14.3</v>
      </c>
      <c r="P6" s="553">
        <f t="shared" si="0"/>
        <v>0</v>
      </c>
      <c r="Q6" s="553">
        <f t="shared" si="0"/>
        <v>14.7</v>
      </c>
      <c r="R6" s="553">
        <f t="shared" si="0"/>
        <v>0</v>
      </c>
      <c r="S6" s="553">
        <f t="shared" si="0"/>
        <v>14.68</v>
      </c>
      <c r="T6" s="553">
        <f t="shared" si="0"/>
        <v>0</v>
      </c>
      <c r="U6" s="553">
        <f t="shared" si="0"/>
        <v>15.4</v>
      </c>
      <c r="V6" s="553">
        <f t="shared" si="0"/>
        <v>0</v>
      </c>
      <c r="W6" s="553">
        <f t="shared" si="0"/>
        <v>15.4</v>
      </c>
      <c r="X6" s="553">
        <f t="shared" si="0"/>
        <v>0</v>
      </c>
      <c r="Y6" s="553">
        <f t="shared" si="0"/>
        <v>16.1</v>
      </c>
      <c r="Z6" s="553">
        <f t="shared" si="0"/>
        <v>0</v>
      </c>
    </row>
    <row r="7" spans="1:26" ht="25.5" customHeight="1">
      <c r="A7" s="62">
        <v>1</v>
      </c>
      <c r="B7" s="28" t="s">
        <v>232</v>
      </c>
      <c r="C7" s="553">
        <f>прибыль!C15</f>
        <v>0.99</v>
      </c>
      <c r="D7" s="553">
        <f>прибыль!D15</f>
        <v>0</v>
      </c>
      <c r="E7" s="553">
        <f>прибыль!E15</f>
        <v>0.94</v>
      </c>
      <c r="F7" s="553">
        <f>прибыль!F15</f>
        <v>0</v>
      </c>
      <c r="G7" s="553">
        <f>прибыль!G15</f>
        <v>0</v>
      </c>
      <c r="H7" s="553">
        <f>прибыль!H15</f>
        <v>0</v>
      </c>
      <c r="I7" s="553">
        <f>прибыль!I15</f>
        <v>0</v>
      </c>
      <c r="J7" s="553">
        <f>прибыль!J15</f>
        <v>0</v>
      </c>
      <c r="K7" s="553">
        <f>прибыль!K15</f>
        <v>0</v>
      </c>
      <c r="L7" s="553">
        <f>прибыль!L15</f>
        <v>0</v>
      </c>
      <c r="M7" s="553">
        <f>прибыль!M15</f>
        <v>0</v>
      </c>
      <c r="N7" s="553">
        <f>прибыль!N15</f>
        <v>0</v>
      </c>
      <c r="O7" s="553">
        <f>прибыль!O15</f>
        <v>0</v>
      </c>
      <c r="P7" s="553">
        <f>прибыль!P15</f>
        <v>0</v>
      </c>
      <c r="Q7" s="553">
        <f>прибыль!Q15</f>
        <v>0</v>
      </c>
      <c r="R7" s="553">
        <f>прибыль!R15</f>
        <v>0</v>
      </c>
      <c r="S7" s="553">
        <f>прибыль!S15</f>
        <v>0</v>
      </c>
      <c r="T7" s="553">
        <f>прибыль!T15</f>
        <v>0</v>
      </c>
      <c r="U7" s="553">
        <f>прибыль!U15</f>
        <v>0</v>
      </c>
      <c r="V7" s="553">
        <f>прибыль!V15</f>
        <v>0</v>
      </c>
      <c r="W7" s="553">
        <f>прибыль!W15</f>
        <v>0</v>
      </c>
      <c r="X7" s="553">
        <f>прибыль!X15</f>
        <v>0</v>
      </c>
      <c r="Y7" s="553">
        <f>прибыль!Y15</f>
        <v>0</v>
      </c>
      <c r="Z7" s="553">
        <f>прибыль!Z15</f>
        <v>0</v>
      </c>
    </row>
    <row r="8" spans="1:26" ht="15" customHeight="1">
      <c r="A8" s="62" t="s">
        <v>110</v>
      </c>
      <c r="B8" s="28" t="s">
        <v>233</v>
      </c>
      <c r="C8" s="378">
        <v>17</v>
      </c>
      <c r="D8" s="378"/>
      <c r="E8" s="378">
        <v>3.6</v>
      </c>
      <c r="F8" s="378">
        <v>8.9</v>
      </c>
      <c r="G8" s="378">
        <v>8.9</v>
      </c>
      <c r="H8" s="378"/>
      <c r="I8" s="378">
        <v>8.9</v>
      </c>
      <c r="J8" s="378"/>
      <c r="K8" s="378">
        <v>8.9</v>
      </c>
      <c r="L8" s="378"/>
      <c r="M8" s="378">
        <v>9.7</v>
      </c>
      <c r="N8" s="378"/>
      <c r="O8" s="378">
        <v>9.6</v>
      </c>
      <c r="P8" s="378"/>
      <c r="Q8" s="378">
        <v>9.6</v>
      </c>
      <c r="R8" s="378"/>
      <c r="S8" s="378">
        <v>9.6</v>
      </c>
      <c r="T8" s="378"/>
      <c r="U8" s="378">
        <v>9.6</v>
      </c>
      <c r="V8" s="378"/>
      <c r="W8" s="378">
        <v>9.6</v>
      </c>
      <c r="X8" s="378"/>
      <c r="Y8" s="378">
        <v>9.6</v>
      </c>
      <c r="Z8" s="378"/>
    </row>
    <row r="9" spans="1:26" ht="30" customHeight="1">
      <c r="A9" s="62" t="s">
        <v>122</v>
      </c>
      <c r="B9" s="28" t="s">
        <v>234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</row>
    <row r="10" spans="1:26" ht="29.25" customHeight="1">
      <c r="A10" s="62" t="s">
        <v>123</v>
      </c>
      <c r="B10" s="28" t="s">
        <v>235</v>
      </c>
      <c r="C10" s="378">
        <v>10.83</v>
      </c>
      <c r="D10" s="378">
        <v>6.2</v>
      </c>
      <c r="E10" s="378">
        <v>8.18</v>
      </c>
      <c r="F10" s="378">
        <v>3.2</v>
      </c>
      <c r="G10" s="378">
        <v>3.1</v>
      </c>
      <c r="H10" s="378"/>
      <c r="I10" s="378">
        <v>3.1</v>
      </c>
      <c r="J10" s="378"/>
      <c r="K10" s="378">
        <v>3.1</v>
      </c>
      <c r="L10" s="378"/>
      <c r="M10" s="378">
        <v>3.6</v>
      </c>
      <c r="N10" s="378"/>
      <c r="O10" s="378">
        <v>3.7</v>
      </c>
      <c r="P10" s="378"/>
      <c r="Q10" s="378">
        <v>4.1</v>
      </c>
      <c r="R10" s="378"/>
      <c r="S10" s="378">
        <v>4.08</v>
      </c>
      <c r="T10" s="378"/>
      <c r="U10" s="378">
        <v>4.7</v>
      </c>
      <c r="V10" s="378"/>
      <c r="W10" s="378">
        <v>4.7</v>
      </c>
      <c r="X10" s="378"/>
      <c r="Y10" s="378">
        <v>5.4</v>
      </c>
      <c r="Z10" s="378"/>
    </row>
    <row r="11" spans="1:26" ht="21" customHeight="1">
      <c r="A11" s="62" t="s">
        <v>129</v>
      </c>
      <c r="B11" s="28" t="s">
        <v>236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ht="21" customHeight="1">
      <c r="A12" s="62" t="s">
        <v>131</v>
      </c>
      <c r="B12" s="28" t="s">
        <v>237</v>
      </c>
      <c r="C12" s="378">
        <v>12.1</v>
      </c>
      <c r="D12" s="378"/>
      <c r="E12" s="378">
        <v>0.4</v>
      </c>
      <c r="F12" s="378">
        <v>0.8</v>
      </c>
      <c r="G12" s="378">
        <v>0.9</v>
      </c>
      <c r="H12" s="378"/>
      <c r="I12" s="378">
        <v>0.9</v>
      </c>
      <c r="J12" s="378"/>
      <c r="K12" s="378">
        <v>0.9</v>
      </c>
      <c r="L12" s="378"/>
      <c r="M12" s="378">
        <v>1</v>
      </c>
      <c r="N12" s="378"/>
      <c r="O12" s="378">
        <v>1</v>
      </c>
      <c r="P12" s="378"/>
      <c r="Q12" s="378">
        <v>1</v>
      </c>
      <c r="R12" s="378"/>
      <c r="S12" s="378">
        <v>1</v>
      </c>
      <c r="T12" s="378"/>
      <c r="U12" s="378">
        <v>1.1</v>
      </c>
      <c r="V12" s="378"/>
      <c r="W12" s="378">
        <v>1.1</v>
      </c>
      <c r="X12" s="378"/>
      <c r="Y12" s="378">
        <v>1.1</v>
      </c>
      <c r="Z12" s="378"/>
    </row>
    <row r="13" spans="1:26" ht="84.75" customHeight="1">
      <c r="A13" s="153" t="s">
        <v>133</v>
      </c>
      <c r="B13" s="142" t="s">
        <v>238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34" s="68" customFormat="1" ht="12.75">
      <c r="A14" s="1124" t="s">
        <v>335</v>
      </c>
      <c r="B14" s="1125"/>
      <c r="C14" s="1125"/>
      <c r="D14" s="1125"/>
      <c r="E14" s="1125"/>
      <c r="F14" s="1125"/>
      <c r="G14" s="1125"/>
      <c r="H14" s="1125"/>
      <c r="I14" s="1125"/>
      <c r="J14" s="1125"/>
      <c r="K14" s="1125"/>
      <c r="L14" s="1125"/>
      <c r="M14" s="1125"/>
      <c r="N14" s="1125"/>
      <c r="O14" s="1125"/>
      <c r="P14" s="1125"/>
      <c r="Q14" s="1125"/>
      <c r="R14" s="1125"/>
      <c r="S14" s="1125"/>
      <c r="T14" s="1125"/>
      <c r="U14" s="1125"/>
      <c r="V14" s="1125"/>
      <c r="W14" s="1125"/>
      <c r="X14" s="1125"/>
      <c r="Y14" s="1125"/>
      <c r="Z14" s="1125"/>
      <c r="AA14"/>
      <c r="AB14"/>
      <c r="AC14"/>
      <c r="AD14"/>
      <c r="AE14"/>
      <c r="AF14"/>
      <c r="AG14"/>
      <c r="AH14"/>
    </row>
    <row r="18" spans="1:27" s="81" customFormat="1" ht="13.5" customHeight="1">
      <c r="A18" s="930" t="s">
        <v>428</v>
      </c>
      <c r="B18" s="930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27"/>
    </row>
    <row r="19" spans="1:27" s="81" customFormat="1" ht="12.75" customHeight="1">
      <c r="A19" s="929" t="s">
        <v>429</v>
      </c>
      <c r="B19" s="929"/>
      <c r="C19" s="929"/>
      <c r="D19" s="929"/>
      <c r="E19" s="929"/>
      <c r="F19" s="929"/>
      <c r="G19" s="929"/>
      <c r="H19" s="929"/>
      <c r="I19" s="929"/>
      <c r="J19" s="929"/>
      <c r="K19" s="929"/>
      <c r="L19" s="929"/>
      <c r="M19" s="929"/>
      <c r="N19" s="929"/>
      <c r="O19" s="929"/>
      <c r="P19" s="929"/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15"/>
    </row>
  </sheetData>
  <sheetProtection password="C8D1" sheet="1" scenarios="1" formatRows="0"/>
  <mergeCells count="20">
    <mergeCell ref="A19:Z19"/>
    <mergeCell ref="Y4:Z4"/>
    <mergeCell ref="C4:D4"/>
    <mergeCell ref="E4:F4"/>
    <mergeCell ref="A4:A5"/>
    <mergeCell ref="B4:B5"/>
    <mergeCell ref="G4:H4"/>
    <mergeCell ref="I4:J4"/>
    <mergeCell ref="S4:T4"/>
    <mergeCell ref="U4:V4"/>
    <mergeCell ref="A1:Z1"/>
    <mergeCell ref="A18:Z18"/>
    <mergeCell ref="A3:O3"/>
    <mergeCell ref="K4:L4"/>
    <mergeCell ref="M4:N4"/>
    <mergeCell ref="O4:P4"/>
    <mergeCell ref="A14:Z14"/>
    <mergeCell ref="A2:I2"/>
    <mergeCell ref="Q4:R4"/>
    <mergeCell ref="W4:X4"/>
  </mergeCells>
  <hyperlinks>
    <hyperlink ref="A14" tooltip="Кликните по гиперссылке для добавления новой строки" display="Добавить строки"/>
  </hyperlinks>
  <printOptions/>
  <pageMargins left="0" right="0" top="0.3937007874015748" bottom="0.3937007874015748" header="0" footer="0"/>
  <pageSetup horizontalDpi="600" verticalDpi="600" orientation="landscape" paperSize="9" scale="38" r:id="rId1"/>
  <ignoredErrors>
    <ignoredError sqref="D7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8"/>
  <dimension ref="A1:AA24"/>
  <sheetViews>
    <sheetView zoomScale="90" zoomScaleNormal="90" zoomScalePageLayoutView="0" workbookViewId="0" topLeftCell="A1">
      <pane xSplit="2" ySplit="5" topLeftCell="T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" sqref="D11"/>
    </sheetView>
  </sheetViews>
  <sheetFormatPr defaultColWidth="9.140625" defaultRowHeight="12.75"/>
  <cols>
    <col min="1" max="1" width="5.57421875" style="27" customWidth="1"/>
    <col min="2" max="2" width="37.421875" style="27" customWidth="1"/>
    <col min="3" max="26" width="14.00390625" style="27" customWidth="1"/>
    <col min="27" max="16384" width="9.140625" style="27" customWidth="1"/>
  </cols>
  <sheetData>
    <row r="1" spans="1:26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</row>
    <row r="2" spans="1:26" ht="12.75">
      <c r="A2" s="839"/>
      <c r="B2" s="839"/>
      <c r="C2" s="839"/>
      <c r="D2" s="839"/>
      <c r="E2" s="839"/>
      <c r="F2" s="839"/>
      <c r="G2" s="839"/>
      <c r="H2" s="839"/>
      <c r="I2" s="839"/>
      <c r="J2" s="34"/>
      <c r="K2" s="34"/>
      <c r="L2" s="34"/>
      <c r="M2" s="34"/>
      <c r="N2" s="34"/>
      <c r="O2" s="34"/>
      <c r="P2" s="34"/>
      <c r="Q2" s="34"/>
      <c r="R2" s="34"/>
      <c r="V2" s="34"/>
      <c r="Z2" s="34"/>
    </row>
    <row r="3" spans="1:23" ht="31.5" customHeight="1">
      <c r="A3" s="1123" t="s">
        <v>372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123"/>
    </row>
    <row r="4" spans="1:26" ht="22.5" customHeight="1">
      <c r="A4" s="1122" t="s">
        <v>5</v>
      </c>
      <c r="B4" s="845" t="s">
        <v>124</v>
      </c>
      <c r="C4" s="1127">
        <f>factYear</f>
        <v>2017</v>
      </c>
      <c r="D4" s="1127"/>
      <c r="E4" s="1127">
        <f>currYear</f>
        <v>2018</v>
      </c>
      <c r="F4" s="1127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  <c r="K4" s="1062" t="str">
        <f>Заголовок!D18</f>
        <v>01.01.2020-30.06.2020</v>
      </c>
      <c r="L4" s="1058"/>
      <c r="M4" s="1062" t="str">
        <f>Заголовок!E18</f>
        <v>01.07.2020-31.12.2020</v>
      </c>
      <c r="N4" s="1058"/>
      <c r="O4" s="1062" t="str">
        <f>Заголовок!D19</f>
        <v>01.01.2021-30.06.2021</v>
      </c>
      <c r="P4" s="1058"/>
      <c r="Q4" s="1023" t="str">
        <f>Заголовок!E19</f>
        <v>01.07.2021-31.12.2021</v>
      </c>
      <c r="R4" s="1022"/>
      <c r="S4" s="1023" t="str">
        <f>Заголовок!D20</f>
        <v>01.01.2022-30.06.2022</v>
      </c>
      <c r="T4" s="1024"/>
      <c r="U4" s="1031" t="str">
        <f>Заголовок!E20</f>
        <v>01.07.2022-31.12.2022</v>
      </c>
      <c r="V4" s="1022"/>
      <c r="W4" s="1023" t="str">
        <f>Заголовок!D21</f>
        <v>01.01.2023-30.06.2023</v>
      </c>
      <c r="X4" s="1100"/>
      <c r="Y4" s="1062" t="str">
        <f>Заголовок!E21</f>
        <v>01.07.2023-31.12.2023</v>
      </c>
      <c r="Z4" s="1126"/>
    </row>
    <row r="5" spans="1:26" ht="30" customHeight="1">
      <c r="A5" s="1122"/>
      <c r="B5" s="845"/>
      <c r="C5" s="40" t="s">
        <v>190</v>
      </c>
      <c r="D5" s="40" t="s">
        <v>191</v>
      </c>
      <c r="E5" s="40" t="s">
        <v>190</v>
      </c>
      <c r="F5" s="40" t="s">
        <v>192</v>
      </c>
      <c r="G5" s="40" t="s">
        <v>1</v>
      </c>
      <c r="H5" s="40" t="s">
        <v>2</v>
      </c>
      <c r="I5" s="40" t="s">
        <v>1</v>
      </c>
      <c r="J5" s="40" t="s">
        <v>2</v>
      </c>
      <c r="K5" s="40" t="s">
        <v>1</v>
      </c>
      <c r="L5" s="40" t="s">
        <v>2</v>
      </c>
      <c r="M5" s="40" t="s">
        <v>1</v>
      </c>
      <c r="N5" s="40" t="s">
        <v>2</v>
      </c>
      <c r="O5" s="40" t="s">
        <v>1</v>
      </c>
      <c r="P5" s="40" t="s">
        <v>2</v>
      </c>
      <c r="Q5" s="40" t="s">
        <v>1</v>
      </c>
      <c r="R5" s="40" t="s">
        <v>2</v>
      </c>
      <c r="S5" s="40" t="s">
        <v>1</v>
      </c>
      <c r="T5" s="40" t="s">
        <v>2</v>
      </c>
      <c r="U5" s="40" t="s">
        <v>1</v>
      </c>
      <c r="V5" s="40" t="s">
        <v>2</v>
      </c>
      <c r="W5" s="40" t="s">
        <v>1</v>
      </c>
      <c r="X5" s="40" t="s">
        <v>2</v>
      </c>
      <c r="Y5" s="40" t="s">
        <v>1</v>
      </c>
      <c r="Z5" s="40" t="s">
        <v>2</v>
      </c>
    </row>
    <row r="6" spans="1:26" ht="27" customHeight="1">
      <c r="A6" s="28"/>
      <c r="B6" s="56" t="s">
        <v>470</v>
      </c>
      <c r="C6" s="553">
        <f>SUM(C7:C10)</f>
        <v>5.01</v>
      </c>
      <c r="D6" s="553">
        <f aca="true" t="shared" si="0" ref="D6:Z6">SUM(D7:D10)</f>
        <v>0</v>
      </c>
      <c r="E6" s="553">
        <f t="shared" si="0"/>
        <v>2.41</v>
      </c>
      <c r="F6" s="553">
        <f t="shared" si="0"/>
        <v>0</v>
      </c>
      <c r="G6" s="553">
        <f t="shared" si="0"/>
        <v>0</v>
      </c>
      <c r="H6" s="553">
        <f t="shared" si="0"/>
        <v>0</v>
      </c>
      <c r="I6" s="553">
        <f t="shared" si="0"/>
        <v>0</v>
      </c>
      <c r="J6" s="553">
        <f t="shared" si="0"/>
        <v>0</v>
      </c>
      <c r="K6" s="553">
        <f t="shared" si="0"/>
        <v>0</v>
      </c>
      <c r="L6" s="553">
        <f t="shared" si="0"/>
        <v>0</v>
      </c>
      <c r="M6" s="553">
        <f t="shared" si="0"/>
        <v>0</v>
      </c>
      <c r="N6" s="553">
        <f t="shared" si="0"/>
        <v>0</v>
      </c>
      <c r="O6" s="553">
        <f t="shared" si="0"/>
        <v>0</v>
      </c>
      <c r="P6" s="553">
        <f t="shared" si="0"/>
        <v>0</v>
      </c>
      <c r="Q6" s="553">
        <f t="shared" si="0"/>
        <v>0</v>
      </c>
      <c r="R6" s="553">
        <f t="shared" si="0"/>
        <v>0</v>
      </c>
      <c r="S6" s="553">
        <f t="shared" si="0"/>
        <v>0</v>
      </c>
      <c r="T6" s="553">
        <f t="shared" si="0"/>
        <v>0</v>
      </c>
      <c r="U6" s="553">
        <f t="shared" si="0"/>
        <v>0</v>
      </c>
      <c r="V6" s="553">
        <f t="shared" si="0"/>
        <v>0</v>
      </c>
      <c r="W6" s="553">
        <f t="shared" si="0"/>
        <v>0</v>
      </c>
      <c r="X6" s="553">
        <f t="shared" si="0"/>
        <v>0</v>
      </c>
      <c r="Y6" s="553">
        <f t="shared" si="0"/>
        <v>0</v>
      </c>
      <c r="Z6" s="553">
        <f t="shared" si="0"/>
        <v>0</v>
      </c>
    </row>
    <row r="7" spans="1:26" ht="27" customHeight="1">
      <c r="A7" s="62">
        <v>1</v>
      </c>
      <c r="B7" s="28" t="s">
        <v>239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</row>
    <row r="8" spans="1:26" ht="52.5" customHeight="1">
      <c r="A8" s="62" t="s">
        <v>110</v>
      </c>
      <c r="B8" s="28" t="s">
        <v>373</v>
      </c>
      <c r="C8" s="553">
        <f>'источ. кап. вложений'!C6</f>
        <v>0</v>
      </c>
      <c r="D8" s="553">
        <f>'источ. кап. вложений'!D6</f>
        <v>0</v>
      </c>
      <c r="E8" s="553">
        <f>'источ. кап. вложений'!E6</f>
        <v>0</v>
      </c>
      <c r="F8" s="553">
        <f>'источ. кап. вложений'!F6</f>
        <v>0</v>
      </c>
      <c r="G8" s="553">
        <f>'источ. кап. вложений'!G6</f>
        <v>0</v>
      </c>
      <c r="H8" s="553">
        <f>'источ. кап. вложений'!H6</f>
        <v>0</v>
      </c>
      <c r="I8" s="553">
        <f>'источ. кап. вложений'!I6</f>
        <v>0</v>
      </c>
      <c r="J8" s="553">
        <f>'источ. кап. вложений'!J6</f>
        <v>0</v>
      </c>
      <c r="K8" s="553">
        <f>'источ. кап. вложений'!K6</f>
        <v>0</v>
      </c>
      <c r="L8" s="553">
        <f>'источ. кап. вложений'!L6</f>
        <v>0</v>
      </c>
      <c r="M8" s="553">
        <f>'источ. кап. вложений'!M6</f>
        <v>0</v>
      </c>
      <c r="N8" s="553">
        <f>'источ. кап. вложений'!N6</f>
        <v>0</v>
      </c>
      <c r="O8" s="553">
        <f>'источ. кап. вложений'!O6</f>
        <v>0</v>
      </c>
      <c r="P8" s="553">
        <f>'источ. кап. вложений'!P6</f>
        <v>0</v>
      </c>
      <c r="Q8" s="553">
        <f>'источ. кап. вложений'!Q6</f>
        <v>0</v>
      </c>
      <c r="R8" s="553">
        <f>'источ. кап. вложений'!R6</f>
        <v>0</v>
      </c>
      <c r="S8" s="553">
        <f>'источ. кап. вложений'!K6</f>
        <v>0</v>
      </c>
      <c r="T8" s="553">
        <f>'источ. кап. вложений'!L6</f>
        <v>0</v>
      </c>
      <c r="U8" s="553">
        <f>'источ. кап. вложений'!M6</f>
        <v>0</v>
      </c>
      <c r="V8" s="553">
        <f>'источ. кап. вложений'!N6</f>
        <v>0</v>
      </c>
      <c r="W8" s="553">
        <f>'источ. кап. вложений'!W6</f>
        <v>0</v>
      </c>
      <c r="X8" s="553">
        <f>'источ. кап. вложений'!X6</f>
        <v>0</v>
      </c>
      <c r="Y8" s="553">
        <f>'источ. кап. вложений'!Y6</f>
        <v>0</v>
      </c>
      <c r="Z8" s="553">
        <f>'источ. кап. вложений'!Z6</f>
        <v>0</v>
      </c>
    </row>
    <row r="9" spans="1:26" ht="41.25" customHeight="1">
      <c r="A9" s="62" t="s">
        <v>122</v>
      </c>
      <c r="B9" s="28" t="s">
        <v>283</v>
      </c>
      <c r="C9" s="378">
        <v>3.96</v>
      </c>
      <c r="D9" s="378"/>
      <c r="E9" s="378">
        <v>3.77</v>
      </c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</row>
    <row r="10" spans="1:26" ht="65.25" customHeight="1">
      <c r="A10" s="62" t="s">
        <v>123</v>
      </c>
      <c r="B10" s="28" t="s">
        <v>421</v>
      </c>
      <c r="C10" s="553">
        <f>SUM(C11:C13)</f>
        <v>1.05</v>
      </c>
      <c r="D10" s="553">
        <f aca="true" t="shared" si="1" ref="D10:Z10">SUM(D11:D13)</f>
        <v>0</v>
      </c>
      <c r="E10" s="553">
        <f t="shared" si="1"/>
        <v>-1.36</v>
      </c>
      <c r="F10" s="553">
        <f t="shared" si="1"/>
        <v>0</v>
      </c>
      <c r="G10" s="553">
        <f t="shared" si="1"/>
        <v>0</v>
      </c>
      <c r="H10" s="553">
        <f t="shared" si="1"/>
        <v>0</v>
      </c>
      <c r="I10" s="553">
        <f t="shared" si="1"/>
        <v>0</v>
      </c>
      <c r="J10" s="553">
        <f t="shared" si="1"/>
        <v>0</v>
      </c>
      <c r="K10" s="553">
        <f t="shared" si="1"/>
        <v>0</v>
      </c>
      <c r="L10" s="553">
        <f t="shared" si="1"/>
        <v>0</v>
      </c>
      <c r="M10" s="553">
        <f t="shared" si="1"/>
        <v>0</v>
      </c>
      <c r="N10" s="553">
        <f t="shared" si="1"/>
        <v>0</v>
      </c>
      <c r="O10" s="553">
        <f t="shared" si="1"/>
        <v>0</v>
      </c>
      <c r="P10" s="553">
        <f t="shared" si="1"/>
        <v>0</v>
      </c>
      <c r="Q10" s="553">
        <f t="shared" si="1"/>
        <v>0</v>
      </c>
      <c r="R10" s="553">
        <f t="shared" si="1"/>
        <v>0</v>
      </c>
      <c r="S10" s="553">
        <f t="shared" si="1"/>
        <v>0</v>
      </c>
      <c r="T10" s="553">
        <f t="shared" si="1"/>
        <v>0</v>
      </c>
      <c r="U10" s="553">
        <f t="shared" si="1"/>
        <v>0</v>
      </c>
      <c r="V10" s="553">
        <f t="shared" si="1"/>
        <v>0</v>
      </c>
      <c r="W10" s="553">
        <f t="shared" si="1"/>
        <v>0</v>
      </c>
      <c r="X10" s="553">
        <f t="shared" si="1"/>
        <v>0</v>
      </c>
      <c r="Y10" s="553">
        <f t="shared" si="1"/>
        <v>0</v>
      </c>
      <c r="Z10" s="553">
        <f t="shared" si="1"/>
        <v>0</v>
      </c>
    </row>
    <row r="11" spans="1:26" ht="21.75" customHeight="1">
      <c r="A11" s="62" t="s">
        <v>80</v>
      </c>
      <c r="B11" s="142"/>
      <c r="C11" s="378">
        <v>1.05</v>
      </c>
      <c r="D11" s="378"/>
      <c r="E11" s="378">
        <v>-1.36</v>
      </c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ht="21.75" customHeight="1">
      <c r="A12" s="62" t="s">
        <v>81</v>
      </c>
      <c r="B12" s="142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</row>
    <row r="13" spans="1:26" ht="21.75" customHeight="1">
      <c r="A13" s="62" t="s">
        <v>212</v>
      </c>
      <c r="B13" s="142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26" ht="21" customHeight="1">
      <c r="A14" s="62" t="s">
        <v>129</v>
      </c>
      <c r="B14" s="28" t="s">
        <v>422</v>
      </c>
      <c r="C14" s="553">
        <f>C7+C8+C9</f>
        <v>3.96</v>
      </c>
      <c r="D14" s="553">
        <f>D7+D8+D9</f>
        <v>0</v>
      </c>
      <c r="E14" s="553">
        <f>E7+E8+E9</f>
        <v>3.77</v>
      </c>
      <c r="F14" s="553">
        <f aca="true" t="shared" si="2" ref="F14:Z14">F7+F8+F9</f>
        <v>0</v>
      </c>
      <c r="G14" s="553">
        <f t="shared" si="2"/>
        <v>0</v>
      </c>
      <c r="H14" s="553">
        <f t="shared" si="2"/>
        <v>0</v>
      </c>
      <c r="I14" s="553">
        <f t="shared" si="2"/>
        <v>0</v>
      </c>
      <c r="J14" s="553">
        <f t="shared" si="2"/>
        <v>0</v>
      </c>
      <c r="K14" s="553">
        <f t="shared" si="2"/>
        <v>0</v>
      </c>
      <c r="L14" s="553">
        <f t="shared" si="2"/>
        <v>0</v>
      </c>
      <c r="M14" s="553">
        <f t="shared" si="2"/>
        <v>0</v>
      </c>
      <c r="N14" s="553">
        <f t="shared" si="2"/>
        <v>0</v>
      </c>
      <c r="O14" s="553">
        <f t="shared" si="2"/>
        <v>0</v>
      </c>
      <c r="P14" s="553">
        <f t="shared" si="2"/>
        <v>0</v>
      </c>
      <c r="Q14" s="553">
        <f t="shared" si="2"/>
        <v>0</v>
      </c>
      <c r="R14" s="553">
        <f t="shared" si="2"/>
        <v>0</v>
      </c>
      <c r="S14" s="553">
        <f t="shared" si="2"/>
        <v>0</v>
      </c>
      <c r="T14" s="553">
        <f t="shared" si="2"/>
        <v>0</v>
      </c>
      <c r="U14" s="553">
        <f t="shared" si="2"/>
        <v>0</v>
      </c>
      <c r="V14" s="553">
        <f t="shared" si="2"/>
        <v>0</v>
      </c>
      <c r="W14" s="553">
        <f t="shared" si="2"/>
        <v>0</v>
      </c>
      <c r="X14" s="553">
        <f t="shared" si="2"/>
        <v>0</v>
      </c>
      <c r="Y14" s="553">
        <f t="shared" si="2"/>
        <v>0</v>
      </c>
      <c r="Z14" s="553">
        <f t="shared" si="2"/>
        <v>0</v>
      </c>
    </row>
    <row r="15" spans="1:26" ht="22.5" customHeight="1">
      <c r="A15" s="62" t="s">
        <v>131</v>
      </c>
      <c r="B15" s="28" t="s">
        <v>420</v>
      </c>
      <c r="C15" s="553">
        <f>C14*'доп. инф.'!C7/(100-'доп. инф.'!C7)</f>
        <v>0.99</v>
      </c>
      <c r="D15" s="553">
        <f>D14*'доп. инф.'!C7/(100-'доп. инф.'!C7)</f>
        <v>0</v>
      </c>
      <c r="E15" s="553">
        <f>E14*'доп. инф.'!D7/(100-'доп. инф.'!D7)</f>
        <v>0.94</v>
      </c>
      <c r="F15" s="553">
        <f>F14*'доп. инф.'!D7/(100-'доп. инф.'!D7)</f>
        <v>0</v>
      </c>
      <c r="G15" s="553">
        <f>G14*'доп. инф.'!E7/(100-'доп. инф.'!E7)</f>
        <v>0</v>
      </c>
      <c r="H15" s="553">
        <f>H14*'доп. инф.'!J7/(100-'доп. инф.'!J7)</f>
        <v>0</v>
      </c>
      <c r="I15" s="553">
        <f>I14*'доп. инф.'!E7/(100-'доп. инф.'!E7)</f>
        <v>0</v>
      </c>
      <c r="J15" s="553">
        <f>J14*'доп. инф.'!J7/(100-'доп. инф.'!J7)</f>
        <v>0</v>
      </c>
      <c r="K15" s="553">
        <f>K14*'доп. инф.'!F7/(100-'доп. инф.'!F7)</f>
        <v>0</v>
      </c>
      <c r="L15" s="553">
        <f>L14*'доп. инф.'!K7/(100-'доп. инф.'!K7)</f>
        <v>0</v>
      </c>
      <c r="M15" s="553">
        <f>M14*'доп. инф.'!F7/(100-'доп. инф.'!F7)</f>
        <v>0</v>
      </c>
      <c r="N15" s="553">
        <f>N14*'доп. инф.'!K7/(100-'доп. инф.'!K7)</f>
        <v>0</v>
      </c>
      <c r="O15" s="553">
        <f>O14*'доп. инф.'!G7/(100-'доп. инф.'!G7)</f>
        <v>0</v>
      </c>
      <c r="P15" s="553">
        <f>P14*'доп. инф.'!L7/(100-'доп. инф.'!L7)</f>
        <v>0</v>
      </c>
      <c r="Q15" s="553">
        <f>Q14*'доп. инф.'!G7/(100-'доп. инф.'!G7)</f>
        <v>0</v>
      </c>
      <c r="R15" s="553">
        <f>R14*'доп. инф.'!L7/(100-'доп. инф.'!L7)</f>
        <v>0</v>
      </c>
      <c r="S15" s="553">
        <f>S14*'доп. инф.'!H7/(100-'доп. инф.'!H7)</f>
        <v>0</v>
      </c>
      <c r="T15" s="553">
        <f>T14*'доп. инф.'!M7/(100-'доп. инф.'!M7)</f>
        <v>0</v>
      </c>
      <c r="U15" s="553">
        <f>U14*'доп. инф.'!H7/(100-'доп. инф.'!H7)</f>
        <v>0</v>
      </c>
      <c r="V15" s="553">
        <f>V14*'доп. инф.'!M7/(100-'доп. инф.'!M7)</f>
        <v>0</v>
      </c>
      <c r="W15" s="553">
        <f>W14*'доп. инф.'!I7/(100-'доп. инф.'!I7)</f>
        <v>0</v>
      </c>
      <c r="X15" s="553">
        <f>X14*'доп. инф.'!N7/(100-'доп. инф.'!N7)</f>
        <v>0</v>
      </c>
      <c r="Y15" s="553">
        <f>Y14*'доп. инф.'!I7/(100-'доп. инф.'!I7)</f>
        <v>0</v>
      </c>
      <c r="Z15" s="553">
        <f>Z14*'доп. инф.'!N7/(100-'доп. инф.'!N7)</f>
        <v>0</v>
      </c>
    </row>
    <row r="16" spans="1:26" ht="66" customHeight="1">
      <c r="A16" s="62" t="s">
        <v>133</v>
      </c>
      <c r="B16" s="28" t="s">
        <v>374</v>
      </c>
      <c r="C16" s="553">
        <f>'метод индекс'!C6-C6-C15</f>
        <v>695.11</v>
      </c>
      <c r="D16" s="553">
        <f>'метод индекс'!D6-D6-D15</f>
        <v>52.2</v>
      </c>
      <c r="E16" s="553">
        <f>'метод индекс'!E6-E6-E15</f>
        <v>388.52</v>
      </c>
      <c r="F16" s="553">
        <f>'метод индекс'!F6-F6-F15</f>
        <v>130.84</v>
      </c>
      <c r="G16" s="553">
        <f>'метод индекс'!G6-G6-G15</f>
        <v>97.98</v>
      </c>
      <c r="H16" s="553">
        <f>'метод индекс'!H6-H6-H15</f>
        <v>0</v>
      </c>
      <c r="I16" s="553">
        <f>'метод индекс'!I6-I6-I15</f>
        <v>148.6</v>
      </c>
      <c r="J16" s="553">
        <f>'метод индекс'!J6-J6-J15</f>
        <v>0</v>
      </c>
      <c r="K16" s="553">
        <f>'метод индекс'!K6-K6-K15</f>
        <v>148.61</v>
      </c>
      <c r="L16" s="553">
        <f>'метод индекс'!L6-L6-L15</f>
        <v>0</v>
      </c>
      <c r="M16" s="553">
        <f>'метод индекс'!M6-M6-M15</f>
        <v>154.75</v>
      </c>
      <c r="N16" s="553">
        <f>'метод индекс'!N6-N6-N15</f>
        <v>0</v>
      </c>
      <c r="O16" s="553">
        <f>'метод индекс'!O6-O6-O15</f>
        <v>154.75</v>
      </c>
      <c r="P16" s="553">
        <f>'метод индекс'!P6-P6-P15</f>
        <v>0</v>
      </c>
      <c r="Q16" s="553">
        <f>'метод индекс'!Q6-Q6-Q15</f>
        <v>160.1</v>
      </c>
      <c r="R16" s="553">
        <f>'метод индекс'!R6-R6-R15</f>
        <v>0</v>
      </c>
      <c r="S16" s="553">
        <f>'метод индекс'!S6-S6-S15</f>
        <v>160.08</v>
      </c>
      <c r="T16" s="553">
        <f>'метод индекс'!T6-T6-T15</f>
        <v>0</v>
      </c>
      <c r="U16" s="553">
        <f>'метод индекс'!U6-U6-U15</f>
        <v>165.84</v>
      </c>
      <c r="V16" s="553">
        <f>'метод индекс'!V6-V6-V15</f>
        <v>0</v>
      </c>
      <c r="W16" s="553">
        <f>'метод индекс'!W6-W6-W15</f>
        <v>165.84</v>
      </c>
      <c r="X16" s="553">
        <f>'метод индекс'!X6-X6-X15</f>
        <v>0</v>
      </c>
      <c r="Y16" s="553">
        <f>'метод индекс'!Y6-Y6-Y15</f>
        <v>172.2</v>
      </c>
      <c r="Z16" s="553">
        <f>'метод индекс'!Z6-Z6-Z15</f>
        <v>0</v>
      </c>
    </row>
    <row r="17" spans="1:26" ht="31.5" customHeight="1">
      <c r="A17" s="62" t="s">
        <v>263</v>
      </c>
      <c r="B17" s="28" t="s">
        <v>375</v>
      </c>
      <c r="C17" s="553">
        <f>IF(C16=0,0,C6/C16*100)</f>
        <v>0.72</v>
      </c>
      <c r="D17" s="553">
        <f aca="true" t="shared" si="3" ref="D17:Z17">IF(D16=0,0,D6/D16*100)</f>
        <v>0</v>
      </c>
      <c r="E17" s="553">
        <f t="shared" si="3"/>
        <v>0.62</v>
      </c>
      <c r="F17" s="553">
        <f t="shared" si="3"/>
        <v>0</v>
      </c>
      <c r="G17" s="553">
        <f t="shared" si="3"/>
        <v>0</v>
      </c>
      <c r="H17" s="553">
        <f t="shared" si="3"/>
        <v>0</v>
      </c>
      <c r="I17" s="553">
        <f t="shared" si="3"/>
        <v>0</v>
      </c>
      <c r="J17" s="553">
        <f t="shared" si="3"/>
        <v>0</v>
      </c>
      <c r="K17" s="553">
        <f t="shared" si="3"/>
        <v>0</v>
      </c>
      <c r="L17" s="553">
        <f t="shared" si="3"/>
        <v>0</v>
      </c>
      <c r="M17" s="553">
        <f t="shared" si="3"/>
        <v>0</v>
      </c>
      <c r="N17" s="553">
        <f t="shared" si="3"/>
        <v>0</v>
      </c>
      <c r="O17" s="553">
        <f t="shared" si="3"/>
        <v>0</v>
      </c>
      <c r="P17" s="553">
        <f t="shared" si="3"/>
        <v>0</v>
      </c>
      <c r="Q17" s="553">
        <f t="shared" si="3"/>
        <v>0</v>
      </c>
      <c r="R17" s="553">
        <f t="shared" si="3"/>
        <v>0</v>
      </c>
      <c r="S17" s="553">
        <f t="shared" si="3"/>
        <v>0</v>
      </c>
      <c r="T17" s="553">
        <f t="shared" si="3"/>
        <v>0</v>
      </c>
      <c r="U17" s="553">
        <f t="shared" si="3"/>
        <v>0</v>
      </c>
      <c r="V17" s="553">
        <f t="shared" si="3"/>
        <v>0</v>
      </c>
      <c r="W17" s="553">
        <f t="shared" si="3"/>
        <v>0</v>
      </c>
      <c r="X17" s="553">
        <f t="shared" si="3"/>
        <v>0</v>
      </c>
      <c r="Y17" s="553">
        <f t="shared" si="3"/>
        <v>0</v>
      </c>
      <c r="Z17" s="553">
        <f t="shared" si="3"/>
        <v>0</v>
      </c>
    </row>
    <row r="18" spans="1:18" ht="12.75">
      <c r="A18" s="38"/>
      <c r="B18" s="1128"/>
      <c r="C18" s="1120"/>
      <c r="D18" s="1120"/>
      <c r="E18" s="1120"/>
      <c r="F18" s="1120"/>
      <c r="G18" s="1120"/>
      <c r="H18" s="1120"/>
      <c r="I18" s="1120"/>
      <c r="J18" s="1120"/>
      <c r="K18" s="247"/>
      <c r="L18" s="247"/>
      <c r="M18" s="247"/>
      <c r="N18" s="247"/>
      <c r="O18" s="247"/>
      <c r="P18" s="247"/>
      <c r="Q18" s="247"/>
      <c r="R18" s="247"/>
    </row>
    <row r="23" spans="1:27" s="81" customFormat="1" ht="13.5" customHeight="1">
      <c r="A23" s="1077" t="s">
        <v>428</v>
      </c>
      <c r="B23" s="1077"/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27"/>
    </row>
    <row r="24" spans="1:27" s="81" customFormat="1" ht="12.75" customHeight="1">
      <c r="A24" s="980" t="s">
        <v>429</v>
      </c>
      <c r="B24" s="980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0"/>
      <c r="AA24" s="15"/>
    </row>
  </sheetData>
  <sheetProtection password="C8D1" sheet="1" scenarios="1" formatRows="0"/>
  <mergeCells count="20">
    <mergeCell ref="A24:Z24"/>
    <mergeCell ref="A2:I2"/>
    <mergeCell ref="A4:A5"/>
    <mergeCell ref="B4:B5"/>
    <mergeCell ref="G4:H4"/>
    <mergeCell ref="I4:J4"/>
    <mergeCell ref="A3:W3"/>
    <mergeCell ref="S4:T4"/>
    <mergeCell ref="U4:V4"/>
    <mergeCell ref="W4:X4"/>
    <mergeCell ref="A23:Z23"/>
    <mergeCell ref="K4:L4"/>
    <mergeCell ref="M4:N4"/>
    <mergeCell ref="O4:P4"/>
    <mergeCell ref="Q4:R4"/>
    <mergeCell ref="A1:Z1"/>
    <mergeCell ref="Y4:Z4"/>
    <mergeCell ref="B18:J18"/>
    <mergeCell ref="C4:D4"/>
    <mergeCell ref="E4:F4"/>
  </mergeCells>
  <printOptions/>
  <pageMargins left="0.15748031496062992" right="0" top="0.5905511811023623" bottom="0.1968503937007874" header="0" footer="0"/>
  <pageSetup horizontalDpi="600" verticalDpi="600" orientation="landscape" paperSize="9" scale="3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15"/>
  <dimension ref="A1:AA25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9.140625" defaultRowHeight="12.75"/>
  <cols>
    <col min="1" max="1" width="6.140625" style="27" customWidth="1"/>
    <col min="2" max="2" width="34.7109375" style="27" customWidth="1"/>
    <col min="3" max="26" width="14.00390625" style="27" customWidth="1"/>
    <col min="27" max="16384" width="9.140625" style="27" customWidth="1"/>
  </cols>
  <sheetData>
    <row r="1" spans="1:26" ht="12.75" customHeight="1">
      <c r="A1" s="1120" t="str">
        <f>org</f>
        <v>Муниципальное предприятие по эксплуатации систем водоснабжения и водоотведения "Водоканал" г.Великие Луки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1120"/>
      <c r="R1" s="1120"/>
      <c r="S1" s="1120"/>
      <c r="T1" s="1120"/>
      <c r="U1" s="1120"/>
      <c r="V1" s="1120"/>
      <c r="W1" s="1120"/>
      <c r="X1" s="1120"/>
      <c r="Y1" s="1120"/>
      <c r="Z1" s="1120"/>
    </row>
    <row r="2" spans="1:26" ht="15">
      <c r="A2" s="1129" t="s">
        <v>108</v>
      </c>
      <c r="B2" s="1129"/>
      <c r="C2" s="1129"/>
      <c r="D2" s="1129"/>
      <c r="E2" s="1129"/>
      <c r="F2" s="1129"/>
      <c r="G2" s="1129"/>
      <c r="H2" s="29"/>
      <c r="I2" s="29"/>
      <c r="J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X2" s="29"/>
      <c r="Y2" s="29"/>
      <c r="Z2" s="29"/>
    </row>
    <row r="3" spans="1:25" ht="12.75" customHeight="1">
      <c r="A3" s="1130"/>
      <c r="B3" s="1130"/>
      <c r="C3" s="1130"/>
      <c r="D3" s="1130"/>
      <c r="E3" s="1130"/>
      <c r="F3" s="1130"/>
      <c r="G3" s="1130"/>
      <c r="H3" s="1130"/>
      <c r="I3" s="29"/>
      <c r="M3" s="29"/>
      <c r="Y3" s="29"/>
    </row>
    <row r="4" spans="1:26" ht="22.5" customHeight="1">
      <c r="A4" s="845" t="s">
        <v>5</v>
      </c>
      <c r="B4" s="845" t="s">
        <v>6</v>
      </c>
      <c r="C4" s="1058">
        <f>factYear</f>
        <v>2017</v>
      </c>
      <c r="D4" s="1058"/>
      <c r="E4" s="1058">
        <f>currYear</f>
        <v>2018</v>
      </c>
      <c r="F4" s="1058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  <c r="K4" s="1062" t="str">
        <f>Заголовок!D18</f>
        <v>01.01.2020-30.06.2020</v>
      </c>
      <c r="L4" s="1058"/>
      <c r="M4" s="1062" t="str">
        <f>Заголовок!E18</f>
        <v>01.07.2020-31.12.2020</v>
      </c>
      <c r="N4" s="1058"/>
      <c r="O4" s="1062" t="str">
        <f>Заголовок!D19</f>
        <v>01.01.2021-30.06.2021</v>
      </c>
      <c r="P4" s="1058"/>
      <c r="Q4" s="1023" t="str">
        <f>Заголовок!E19</f>
        <v>01.07.2021-31.12.2021</v>
      </c>
      <c r="R4" s="1022"/>
      <c r="S4" s="1023" t="str">
        <f>Заголовок!D20</f>
        <v>01.01.2022-30.06.2022</v>
      </c>
      <c r="T4" s="1024"/>
      <c r="U4" s="1031" t="str">
        <f>Заголовок!E20</f>
        <v>01.07.2022-31.12.2022</v>
      </c>
      <c r="V4" s="1022"/>
      <c r="W4" s="1023" t="str">
        <f>Заголовок!D21</f>
        <v>01.01.2023-30.06.2023</v>
      </c>
      <c r="X4" s="1100"/>
      <c r="Y4" s="1062" t="str">
        <f>Заголовок!E21</f>
        <v>01.07.2023-31.12.2023</v>
      </c>
      <c r="Z4" s="1126"/>
    </row>
    <row r="5" spans="1:26" ht="30" customHeight="1">
      <c r="A5" s="845"/>
      <c r="B5" s="845"/>
      <c r="C5" s="40" t="s">
        <v>190</v>
      </c>
      <c r="D5" s="40" t="s">
        <v>191</v>
      </c>
      <c r="E5" s="40" t="s">
        <v>190</v>
      </c>
      <c r="F5" s="40" t="s">
        <v>192</v>
      </c>
      <c r="G5" s="40" t="s">
        <v>1</v>
      </c>
      <c r="H5" s="40" t="s">
        <v>2</v>
      </c>
      <c r="I5" s="40" t="s">
        <v>1</v>
      </c>
      <c r="J5" s="40" t="s">
        <v>2</v>
      </c>
      <c r="K5" s="40" t="s">
        <v>1</v>
      </c>
      <c r="L5" s="40" t="s">
        <v>2</v>
      </c>
      <c r="M5" s="40" t="s">
        <v>1</v>
      </c>
      <c r="N5" s="40" t="s">
        <v>2</v>
      </c>
      <c r="O5" s="40" t="s">
        <v>1</v>
      </c>
      <c r="P5" s="40" t="s">
        <v>2</v>
      </c>
      <c r="Q5" s="40" t="s">
        <v>1</v>
      </c>
      <c r="R5" s="40" t="s">
        <v>2</v>
      </c>
      <c r="S5" s="40" t="s">
        <v>1</v>
      </c>
      <c r="T5" s="40" t="s">
        <v>2</v>
      </c>
      <c r="U5" s="40" t="s">
        <v>1</v>
      </c>
      <c r="V5" s="40" t="s">
        <v>2</v>
      </c>
      <c r="W5" s="40" t="s">
        <v>1</v>
      </c>
      <c r="X5" s="40" t="s">
        <v>2</v>
      </c>
      <c r="Y5" s="40" t="s">
        <v>1</v>
      </c>
      <c r="Z5" s="40" t="s">
        <v>2</v>
      </c>
    </row>
    <row r="6" spans="1:26" ht="87" customHeight="1">
      <c r="A6" s="210">
        <v>1</v>
      </c>
      <c r="B6" s="56" t="s">
        <v>373</v>
      </c>
      <c r="C6" s="554">
        <f>C7+C9+C11+C16+C12</f>
        <v>0</v>
      </c>
      <c r="D6" s="554">
        <f aca="true" t="shared" si="0" ref="D6:Z6">D7+D9+D11+D16+D12</f>
        <v>0</v>
      </c>
      <c r="E6" s="554">
        <f t="shared" si="0"/>
        <v>0</v>
      </c>
      <c r="F6" s="554">
        <f t="shared" si="0"/>
        <v>0</v>
      </c>
      <c r="G6" s="554">
        <f t="shared" si="0"/>
        <v>0</v>
      </c>
      <c r="H6" s="554">
        <f t="shared" si="0"/>
        <v>0</v>
      </c>
      <c r="I6" s="554">
        <f t="shared" si="0"/>
        <v>0</v>
      </c>
      <c r="J6" s="554">
        <f t="shared" si="0"/>
        <v>0</v>
      </c>
      <c r="K6" s="554">
        <f t="shared" si="0"/>
        <v>0</v>
      </c>
      <c r="L6" s="554">
        <f t="shared" si="0"/>
        <v>0</v>
      </c>
      <c r="M6" s="554">
        <f t="shared" si="0"/>
        <v>0</v>
      </c>
      <c r="N6" s="554">
        <f t="shared" si="0"/>
        <v>0</v>
      </c>
      <c r="O6" s="554">
        <f t="shared" si="0"/>
        <v>0</v>
      </c>
      <c r="P6" s="554">
        <f t="shared" si="0"/>
        <v>0</v>
      </c>
      <c r="Q6" s="554">
        <f t="shared" si="0"/>
        <v>0</v>
      </c>
      <c r="R6" s="554">
        <f t="shared" si="0"/>
        <v>0</v>
      </c>
      <c r="S6" s="554">
        <f t="shared" si="0"/>
        <v>0</v>
      </c>
      <c r="T6" s="554">
        <f t="shared" si="0"/>
        <v>0</v>
      </c>
      <c r="U6" s="554">
        <f t="shared" si="0"/>
        <v>0</v>
      </c>
      <c r="V6" s="554">
        <f t="shared" si="0"/>
        <v>0</v>
      </c>
      <c r="W6" s="554">
        <f t="shared" si="0"/>
        <v>0</v>
      </c>
      <c r="X6" s="554">
        <f t="shared" si="0"/>
        <v>0</v>
      </c>
      <c r="Y6" s="554">
        <f t="shared" si="0"/>
        <v>0</v>
      </c>
      <c r="Z6" s="554">
        <f t="shared" si="0"/>
        <v>0</v>
      </c>
    </row>
    <row r="7" spans="1:26" ht="15" customHeight="1">
      <c r="A7" s="63" t="s">
        <v>10</v>
      </c>
      <c r="B7" s="28" t="s">
        <v>111</v>
      </c>
      <c r="C7" s="554">
        <f>C8</f>
        <v>0</v>
      </c>
      <c r="D7" s="554">
        <f>D8</f>
        <v>0</v>
      </c>
      <c r="E7" s="554">
        <f>E8</f>
        <v>0</v>
      </c>
      <c r="F7" s="554">
        <f aca="true" t="shared" si="1" ref="F7:Z7">F8</f>
        <v>0</v>
      </c>
      <c r="G7" s="554">
        <f t="shared" si="1"/>
        <v>0</v>
      </c>
      <c r="H7" s="554">
        <f t="shared" si="1"/>
        <v>0</v>
      </c>
      <c r="I7" s="554">
        <f t="shared" si="1"/>
        <v>0</v>
      </c>
      <c r="J7" s="554">
        <f t="shared" si="1"/>
        <v>0</v>
      </c>
      <c r="K7" s="554">
        <f t="shared" si="1"/>
        <v>0</v>
      </c>
      <c r="L7" s="554">
        <f t="shared" si="1"/>
        <v>0</v>
      </c>
      <c r="M7" s="554">
        <f t="shared" si="1"/>
        <v>0</v>
      </c>
      <c r="N7" s="554">
        <f t="shared" si="1"/>
        <v>0</v>
      </c>
      <c r="O7" s="554">
        <f t="shared" si="1"/>
        <v>0</v>
      </c>
      <c r="P7" s="554">
        <f t="shared" si="1"/>
        <v>0</v>
      </c>
      <c r="Q7" s="554">
        <f t="shared" si="1"/>
        <v>0</v>
      </c>
      <c r="R7" s="554">
        <f t="shared" si="1"/>
        <v>0</v>
      </c>
      <c r="S7" s="554">
        <f t="shared" si="1"/>
        <v>0</v>
      </c>
      <c r="T7" s="554">
        <f t="shared" si="1"/>
        <v>0</v>
      </c>
      <c r="U7" s="554">
        <f t="shared" si="1"/>
        <v>0</v>
      </c>
      <c r="V7" s="554">
        <f t="shared" si="1"/>
        <v>0</v>
      </c>
      <c r="W7" s="554">
        <f t="shared" si="1"/>
        <v>0</v>
      </c>
      <c r="X7" s="554">
        <f t="shared" si="1"/>
        <v>0</v>
      </c>
      <c r="Y7" s="554">
        <f t="shared" si="1"/>
        <v>0</v>
      </c>
      <c r="Z7" s="554">
        <f t="shared" si="1"/>
        <v>0</v>
      </c>
    </row>
    <row r="8" spans="1:26" ht="15" customHeight="1">
      <c r="A8" s="63" t="s">
        <v>12</v>
      </c>
      <c r="B8" s="28" t="s">
        <v>112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</row>
    <row r="9" spans="1:26" ht="15" customHeight="1">
      <c r="A9" s="63" t="s">
        <v>20</v>
      </c>
      <c r="B9" s="28" t="s">
        <v>114</v>
      </c>
      <c r="C9" s="554">
        <f>C10</f>
        <v>0</v>
      </c>
      <c r="D9" s="554">
        <f>D10</f>
        <v>0</v>
      </c>
      <c r="E9" s="554">
        <f>E10</f>
        <v>0</v>
      </c>
      <c r="F9" s="554">
        <f aca="true" t="shared" si="2" ref="F9:Z9">F10</f>
        <v>0</v>
      </c>
      <c r="G9" s="554">
        <f t="shared" si="2"/>
        <v>0</v>
      </c>
      <c r="H9" s="554">
        <f t="shared" si="2"/>
        <v>0</v>
      </c>
      <c r="I9" s="554">
        <f t="shared" si="2"/>
        <v>0</v>
      </c>
      <c r="J9" s="554">
        <f t="shared" si="2"/>
        <v>0</v>
      </c>
      <c r="K9" s="554">
        <f t="shared" si="2"/>
        <v>0</v>
      </c>
      <c r="L9" s="554">
        <f t="shared" si="2"/>
        <v>0</v>
      </c>
      <c r="M9" s="554">
        <f t="shared" si="2"/>
        <v>0</v>
      </c>
      <c r="N9" s="554">
        <f t="shared" si="2"/>
        <v>0</v>
      </c>
      <c r="O9" s="554">
        <f t="shared" si="2"/>
        <v>0</v>
      </c>
      <c r="P9" s="554">
        <f t="shared" si="2"/>
        <v>0</v>
      </c>
      <c r="Q9" s="554">
        <f t="shared" si="2"/>
        <v>0</v>
      </c>
      <c r="R9" s="554">
        <f t="shared" si="2"/>
        <v>0</v>
      </c>
      <c r="S9" s="554">
        <f t="shared" si="2"/>
        <v>0</v>
      </c>
      <c r="T9" s="554">
        <f t="shared" si="2"/>
        <v>0</v>
      </c>
      <c r="U9" s="554">
        <f t="shared" si="2"/>
        <v>0</v>
      </c>
      <c r="V9" s="554">
        <f t="shared" si="2"/>
        <v>0</v>
      </c>
      <c r="W9" s="554">
        <f t="shared" si="2"/>
        <v>0</v>
      </c>
      <c r="X9" s="554">
        <f t="shared" si="2"/>
        <v>0</v>
      </c>
      <c r="Y9" s="554">
        <f t="shared" si="2"/>
        <v>0</v>
      </c>
      <c r="Z9" s="554">
        <f t="shared" si="2"/>
        <v>0</v>
      </c>
    </row>
    <row r="10" spans="1:26" ht="15" customHeight="1">
      <c r="A10" s="63" t="s">
        <v>165</v>
      </c>
      <c r="B10" s="28" t="s">
        <v>652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</row>
    <row r="11" spans="1:26" ht="15" customHeight="1">
      <c r="A11" s="63" t="s">
        <v>22</v>
      </c>
      <c r="B11" s="28" t="s">
        <v>115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ht="15" customHeight="1">
      <c r="A12" s="63" t="s">
        <v>28</v>
      </c>
      <c r="B12" s="28" t="s">
        <v>117</v>
      </c>
      <c r="C12" s="554">
        <f>C13+C15+C14</f>
        <v>0</v>
      </c>
      <c r="D12" s="554">
        <f aca="true" t="shared" si="3" ref="D12:Z12">D13+D15+D14</f>
        <v>0</v>
      </c>
      <c r="E12" s="554">
        <f t="shared" si="3"/>
        <v>0</v>
      </c>
      <c r="F12" s="554">
        <f t="shared" si="3"/>
        <v>0</v>
      </c>
      <c r="G12" s="554">
        <f t="shared" si="3"/>
        <v>0</v>
      </c>
      <c r="H12" s="554">
        <f t="shared" si="3"/>
        <v>0</v>
      </c>
      <c r="I12" s="554">
        <f t="shared" si="3"/>
        <v>0</v>
      </c>
      <c r="J12" s="554">
        <f t="shared" si="3"/>
        <v>0</v>
      </c>
      <c r="K12" s="554">
        <f t="shared" si="3"/>
        <v>0</v>
      </c>
      <c r="L12" s="554">
        <f t="shared" si="3"/>
        <v>0</v>
      </c>
      <c r="M12" s="554">
        <f t="shared" si="3"/>
        <v>0</v>
      </c>
      <c r="N12" s="554">
        <f t="shared" si="3"/>
        <v>0</v>
      </c>
      <c r="O12" s="554">
        <f t="shared" si="3"/>
        <v>0</v>
      </c>
      <c r="P12" s="554">
        <f t="shared" si="3"/>
        <v>0</v>
      </c>
      <c r="Q12" s="554">
        <f t="shared" si="3"/>
        <v>0</v>
      </c>
      <c r="R12" s="554">
        <f t="shared" si="3"/>
        <v>0</v>
      </c>
      <c r="S12" s="554">
        <f t="shared" si="3"/>
        <v>0</v>
      </c>
      <c r="T12" s="554">
        <f t="shared" si="3"/>
        <v>0</v>
      </c>
      <c r="U12" s="554">
        <f t="shared" si="3"/>
        <v>0</v>
      </c>
      <c r="V12" s="554">
        <f t="shared" si="3"/>
        <v>0</v>
      </c>
      <c r="W12" s="554">
        <f t="shared" si="3"/>
        <v>0</v>
      </c>
      <c r="X12" s="554">
        <f t="shared" si="3"/>
        <v>0</v>
      </c>
      <c r="Y12" s="554">
        <f t="shared" si="3"/>
        <v>0</v>
      </c>
      <c r="Z12" s="554">
        <f t="shared" si="3"/>
        <v>0</v>
      </c>
    </row>
    <row r="13" spans="1:26" ht="15" customHeight="1">
      <c r="A13" s="63" t="s">
        <v>244</v>
      </c>
      <c r="B13" s="28" t="s">
        <v>363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26" ht="15" customHeight="1">
      <c r="A14" s="63" t="s">
        <v>245</v>
      </c>
      <c r="B14" s="28" t="s">
        <v>119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</row>
    <row r="15" spans="1:26" ht="15" customHeight="1">
      <c r="A15" s="63" t="s">
        <v>246</v>
      </c>
      <c r="B15" s="28" t="s">
        <v>120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</row>
    <row r="16" spans="1:26" ht="15" customHeight="1">
      <c r="A16" s="63" t="s">
        <v>30</v>
      </c>
      <c r="B16" s="28" t="s">
        <v>121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</row>
    <row r="17" spans="1:26" ht="12.75">
      <c r="A17" s="3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>
      <c r="A18" s="3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>
      <c r="A19" s="3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>
      <c r="A20" s="3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>
      <c r="A21" s="3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7" s="81" customFormat="1" ht="13.5" customHeight="1">
      <c r="A22" s="930" t="s">
        <v>428</v>
      </c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  <c r="T22" s="930"/>
      <c r="U22" s="930"/>
      <c r="V22" s="930"/>
      <c r="W22" s="930"/>
      <c r="X22" s="930"/>
      <c r="Y22" s="930"/>
      <c r="Z22" s="930"/>
      <c r="AA22" s="27"/>
    </row>
    <row r="23" spans="1:27" s="81" customFormat="1" ht="12.75" customHeight="1">
      <c r="A23" s="929" t="s">
        <v>429</v>
      </c>
      <c r="B23" s="929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29"/>
      <c r="AA23" s="15"/>
    </row>
    <row r="24" spans="1:26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</sheetData>
  <sheetProtection password="C8D1" sheet="1" scenarios="1" formatRows="0"/>
  <mergeCells count="19">
    <mergeCell ref="A23:Z23"/>
    <mergeCell ref="G4:H4"/>
    <mergeCell ref="W4:X4"/>
    <mergeCell ref="Y4:Z4"/>
    <mergeCell ref="M4:N4"/>
    <mergeCell ref="A22:Z22"/>
    <mergeCell ref="K4:L4"/>
    <mergeCell ref="A4:A5"/>
    <mergeCell ref="I4:J4"/>
    <mergeCell ref="A1:Z1"/>
    <mergeCell ref="O4:P4"/>
    <mergeCell ref="Q4:R4"/>
    <mergeCell ref="S4:T4"/>
    <mergeCell ref="U4:V4"/>
    <mergeCell ref="A2:G2"/>
    <mergeCell ref="A3:H3"/>
    <mergeCell ref="E4:F4"/>
    <mergeCell ref="C4:D4"/>
    <mergeCell ref="B4:B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J2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57421875" style="27" customWidth="1"/>
    <col min="2" max="2" width="49.28125" style="27" customWidth="1"/>
    <col min="3" max="3" width="12.7109375" style="27" customWidth="1"/>
    <col min="4" max="4" width="11.7109375" style="27" customWidth="1"/>
    <col min="5" max="6" width="12.140625" style="27" customWidth="1"/>
    <col min="7" max="8" width="12.8515625" style="27" customWidth="1"/>
    <col min="9" max="9" width="13.00390625" style="27" customWidth="1"/>
    <col min="10" max="10" width="12.8515625" style="27" customWidth="1"/>
    <col min="11" max="16384" width="9.140625" style="27" customWidth="1"/>
  </cols>
  <sheetData>
    <row r="1" spans="1:10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12.75">
      <c r="A2" s="839"/>
      <c r="B2" s="839"/>
      <c r="C2" s="839"/>
      <c r="D2" s="839"/>
      <c r="E2" s="839"/>
      <c r="F2" s="839"/>
      <c r="G2" s="839"/>
      <c r="H2" s="839"/>
      <c r="I2" s="839"/>
      <c r="J2" s="34"/>
    </row>
    <row r="3" spans="1:10" ht="12.75">
      <c r="A3" s="1097" t="s">
        <v>365</v>
      </c>
      <c r="B3" s="1097"/>
      <c r="C3" s="1097"/>
      <c r="D3" s="1097"/>
      <c r="E3" s="1097"/>
      <c r="F3" s="1097"/>
      <c r="G3" s="1097"/>
      <c r="H3" s="1097"/>
      <c r="I3" s="1097"/>
      <c r="J3" s="1097"/>
    </row>
    <row r="4" spans="1:10" ht="22.5" customHeight="1">
      <c r="A4" s="1131" t="s">
        <v>5</v>
      </c>
      <c r="B4" s="1006" t="s">
        <v>124</v>
      </c>
      <c r="C4" s="1058">
        <f>factYear</f>
        <v>2017</v>
      </c>
      <c r="D4" s="1058"/>
      <c r="E4" s="1058">
        <f>currYear</f>
        <v>2018</v>
      </c>
      <c r="F4" s="1058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</row>
    <row r="5" spans="1:10" ht="30" customHeight="1">
      <c r="A5" s="1132"/>
      <c r="B5" s="1007"/>
      <c r="C5" s="459" t="s">
        <v>190</v>
      </c>
      <c r="D5" s="459" t="s">
        <v>191</v>
      </c>
      <c r="E5" s="459" t="s">
        <v>190</v>
      </c>
      <c r="F5" s="459" t="s">
        <v>192</v>
      </c>
      <c r="G5" s="459" t="s">
        <v>1</v>
      </c>
      <c r="H5" s="459" t="s">
        <v>2</v>
      </c>
      <c r="I5" s="459" t="s">
        <v>1</v>
      </c>
      <c r="J5" s="459" t="s">
        <v>2</v>
      </c>
    </row>
    <row r="6" spans="1:10" ht="35.25" customHeight="1" thickBot="1">
      <c r="A6" s="246">
        <v>1</v>
      </c>
      <c r="B6" s="495" t="s">
        <v>472</v>
      </c>
      <c r="C6" s="555">
        <f aca="true" t="shared" si="0" ref="C6:J6">C7+C13+C18</f>
        <v>268.2</v>
      </c>
      <c r="D6" s="555">
        <f t="shared" si="0"/>
        <v>12.46</v>
      </c>
      <c r="E6" s="555">
        <f t="shared" si="0"/>
        <v>270.88</v>
      </c>
      <c r="F6" s="555">
        <f t="shared" si="0"/>
        <v>84.27</v>
      </c>
      <c r="G6" s="555">
        <f t="shared" si="0"/>
        <v>53.46</v>
      </c>
      <c r="H6" s="555">
        <f t="shared" si="0"/>
        <v>0</v>
      </c>
      <c r="I6" s="555">
        <f t="shared" si="0"/>
        <v>102.25</v>
      </c>
      <c r="J6" s="555">
        <f t="shared" si="0"/>
        <v>0</v>
      </c>
    </row>
    <row r="7" spans="1:10" ht="21.75" customHeight="1" thickBot="1">
      <c r="A7" s="556" t="s">
        <v>10</v>
      </c>
      <c r="B7" s="563" t="s">
        <v>269</v>
      </c>
      <c r="C7" s="557">
        <f aca="true" t="shared" si="1" ref="C7:J7">C8+C9+C10+C11+C12</f>
        <v>261.94</v>
      </c>
      <c r="D7" s="557">
        <f t="shared" si="1"/>
        <v>17.94</v>
      </c>
      <c r="E7" s="557">
        <f t="shared" si="1"/>
        <v>264.56</v>
      </c>
      <c r="F7" s="557">
        <f t="shared" si="1"/>
        <v>72.6</v>
      </c>
      <c r="G7" s="557">
        <f t="shared" si="1"/>
        <v>36.73</v>
      </c>
      <c r="H7" s="557">
        <f t="shared" si="1"/>
        <v>0</v>
      </c>
      <c r="I7" s="557">
        <f t="shared" si="1"/>
        <v>75.54</v>
      </c>
      <c r="J7" s="557">
        <f t="shared" si="1"/>
        <v>0</v>
      </c>
    </row>
    <row r="8" spans="1:10" ht="31.5" customHeight="1">
      <c r="A8" s="558" t="s">
        <v>12</v>
      </c>
      <c r="B8" s="476" t="s">
        <v>247</v>
      </c>
      <c r="C8" s="559">
        <f>'Сырье свод'!D7</f>
        <v>15.6</v>
      </c>
      <c r="D8" s="559">
        <f>'Сырье свод'!E7</f>
        <v>0.1</v>
      </c>
      <c r="E8" s="559">
        <f>'Сырье свод'!F7</f>
        <v>15.75</v>
      </c>
      <c r="F8" s="559">
        <f>'Сырье свод'!G7</f>
        <v>0.82</v>
      </c>
      <c r="G8" s="559">
        <f>'Сырье свод'!J7</f>
        <v>0.85</v>
      </c>
      <c r="H8" s="559">
        <f>'Сырье свод'!K7</f>
        <v>0</v>
      </c>
      <c r="I8" s="559">
        <f>'Сырье свод'!N7</f>
        <v>0.9</v>
      </c>
      <c r="J8" s="559">
        <f>'Сырье свод'!O7</f>
        <v>0</v>
      </c>
    </row>
    <row r="9" spans="1:10" ht="18" customHeight="1">
      <c r="A9" s="558" t="s">
        <v>13</v>
      </c>
      <c r="B9" s="56" t="s">
        <v>248</v>
      </c>
      <c r="C9" s="64">
        <f>'работы произв. хар.'!E6</f>
        <v>0</v>
      </c>
      <c r="D9" s="64">
        <f>'работы произв. хар.'!F6</f>
        <v>0</v>
      </c>
      <c r="E9" s="64">
        <f>'работы произв. хар.'!G6</f>
        <v>0</v>
      </c>
      <c r="F9" s="64">
        <f>'работы произв. хар.'!H6</f>
        <v>0</v>
      </c>
      <c r="G9" s="64">
        <f>'работы произв. хар.'!I6</f>
        <v>0</v>
      </c>
      <c r="H9" s="64">
        <f>'работы произв. хар.'!J6</f>
        <v>0</v>
      </c>
      <c r="I9" s="64">
        <f>'работы произв. хар.'!K6</f>
        <v>0</v>
      </c>
      <c r="J9" s="64">
        <f>'работы произв. хар.'!L6</f>
        <v>0</v>
      </c>
    </row>
    <row r="10" spans="1:10" ht="55.5" customHeight="1">
      <c r="A10" s="558" t="s">
        <v>14</v>
      </c>
      <c r="B10" s="56" t="s">
        <v>249</v>
      </c>
      <c r="C10" s="64">
        <f>'оплата труда'!D26+'оплата труда'!D27</f>
        <v>246.34</v>
      </c>
      <c r="D10" s="64">
        <f>'оплата труда'!E26+'оплата труда'!E27</f>
        <v>17.84</v>
      </c>
      <c r="E10" s="64">
        <f>'оплата труда'!F26+'оплата труда'!F27</f>
        <v>248.81</v>
      </c>
      <c r="F10" s="64">
        <f>'оплата труда'!G26+'оплата труда'!G27</f>
        <v>71.78</v>
      </c>
      <c r="G10" s="64">
        <f>'оплата труда'!H26+'оплата труда'!H27</f>
        <v>35.88</v>
      </c>
      <c r="H10" s="64">
        <f>'оплата труда'!I26+'оплата труда'!I27</f>
        <v>0</v>
      </c>
      <c r="I10" s="64">
        <f>'оплата труда'!J26+'оплата труда'!J27</f>
        <v>74.64</v>
      </c>
      <c r="J10" s="64">
        <f>'оплата труда'!K26+'оплата труда'!K27</f>
        <v>0</v>
      </c>
    </row>
    <row r="11" spans="1:10" ht="20.25" customHeight="1">
      <c r="A11" s="558" t="s">
        <v>18</v>
      </c>
      <c r="B11" s="56" t="s">
        <v>285</v>
      </c>
      <c r="C11" s="64">
        <f>'прочие произв. расх.'!C6</f>
        <v>0</v>
      </c>
      <c r="D11" s="64">
        <f>'прочие произв. расх.'!D6</f>
        <v>0</v>
      </c>
      <c r="E11" s="64">
        <f>'прочие произв. расх.'!E6</f>
        <v>0</v>
      </c>
      <c r="F11" s="64">
        <f>'прочие произв. расх.'!F6</f>
        <v>0</v>
      </c>
      <c r="G11" s="64">
        <f>'прочие произв. расх.'!G6</f>
        <v>0</v>
      </c>
      <c r="H11" s="64">
        <f>'прочие произв. расх.'!H6</f>
        <v>0</v>
      </c>
      <c r="I11" s="64">
        <f>'прочие произв. расх.'!I6</f>
        <v>0</v>
      </c>
      <c r="J11" s="64">
        <f>'прочие произв. расх.'!J6</f>
        <v>0</v>
      </c>
    </row>
    <row r="12" spans="1:10" ht="27.75" customHeight="1">
      <c r="A12" s="558" t="s">
        <v>270</v>
      </c>
      <c r="B12" s="56" t="s">
        <v>257</v>
      </c>
      <c r="C12" s="64">
        <f>амортизация!D24</f>
        <v>0</v>
      </c>
      <c r="D12" s="64">
        <f>амортизация!E24</f>
        <v>0</v>
      </c>
      <c r="E12" s="64">
        <f>амортизация!F24</f>
        <v>0</v>
      </c>
      <c r="F12" s="64">
        <f>амортизация!G24</f>
        <v>0</v>
      </c>
      <c r="G12" s="64">
        <f>амортизация!H24</f>
        <v>0</v>
      </c>
      <c r="H12" s="64">
        <f>амортизация!I24</f>
        <v>0</v>
      </c>
      <c r="I12" s="64">
        <f>G12</f>
        <v>0</v>
      </c>
      <c r="J12" s="64">
        <f>H12</f>
        <v>0</v>
      </c>
    </row>
    <row r="13" spans="1:10" ht="18" customHeight="1" thickBot="1">
      <c r="A13" s="558" t="s">
        <v>110</v>
      </c>
      <c r="B13" s="564" t="s">
        <v>337</v>
      </c>
      <c r="C13" s="555">
        <f>C14+C15+C16+C17</f>
        <v>0</v>
      </c>
      <c r="D13" s="555">
        <f aca="true" t="shared" si="2" ref="D13:J13">D14+D15+D16+D17</f>
        <v>0</v>
      </c>
      <c r="E13" s="555">
        <f t="shared" si="2"/>
        <v>0</v>
      </c>
      <c r="F13" s="555">
        <f t="shared" si="2"/>
        <v>0.1</v>
      </c>
      <c r="G13" s="555">
        <f t="shared" si="2"/>
        <v>0.1</v>
      </c>
      <c r="H13" s="555">
        <f t="shared" si="2"/>
        <v>0</v>
      </c>
      <c r="I13" s="555">
        <f t="shared" si="2"/>
        <v>0.3</v>
      </c>
      <c r="J13" s="555">
        <f t="shared" si="2"/>
        <v>0</v>
      </c>
    </row>
    <row r="14" spans="1:10" ht="24" customHeight="1">
      <c r="A14" s="558" t="s">
        <v>76</v>
      </c>
      <c r="B14" s="476" t="s">
        <v>262</v>
      </c>
      <c r="C14" s="560">
        <f>'тек. ремонт'!E8</f>
        <v>0</v>
      </c>
      <c r="D14" s="560">
        <f>'тек. ремонт'!F8</f>
        <v>0</v>
      </c>
      <c r="E14" s="560">
        <f>'тек. ремонт'!G8</f>
        <v>0</v>
      </c>
      <c r="F14" s="560">
        <f>'тек. ремонт'!H8</f>
        <v>0</v>
      </c>
      <c r="G14" s="560">
        <f>'тек. ремонт'!I8</f>
        <v>0</v>
      </c>
      <c r="H14" s="560">
        <f>'тек. ремонт'!N8</f>
        <v>0</v>
      </c>
      <c r="I14" s="560">
        <f>'тек. ремонт'!S8</f>
        <v>0</v>
      </c>
      <c r="J14" s="560">
        <f>'тек. ремонт'!X8</f>
        <v>0</v>
      </c>
    </row>
    <row r="15" spans="1:10" ht="24.75" customHeight="1">
      <c r="A15" s="558" t="s">
        <v>77</v>
      </c>
      <c r="B15" s="56" t="s">
        <v>254</v>
      </c>
      <c r="C15" s="561">
        <f>'кап. ремонт '!E8</f>
        <v>0</v>
      </c>
      <c r="D15" s="561">
        <f>'кап. ремонт '!F8</f>
        <v>0</v>
      </c>
      <c r="E15" s="561">
        <f>'кап. ремонт '!G8</f>
        <v>0</v>
      </c>
      <c r="F15" s="561">
        <f>'кап. ремонт '!H8</f>
        <v>0</v>
      </c>
      <c r="G15" s="561">
        <f>'кап. ремонт '!I8</f>
        <v>0</v>
      </c>
      <c r="H15" s="561">
        <f>'кап. ремонт '!N8</f>
        <v>0</v>
      </c>
      <c r="I15" s="561">
        <f>'кап. ремонт '!S8</f>
        <v>0</v>
      </c>
      <c r="J15" s="561">
        <f>'кап. ремонт '!X8</f>
        <v>0</v>
      </c>
    </row>
    <row r="16" spans="1:10" ht="51" customHeight="1">
      <c r="A16" s="558" t="s">
        <v>113</v>
      </c>
      <c r="B16" s="562" t="s">
        <v>412</v>
      </c>
      <c r="C16" s="64">
        <f>'оплата труда'!D49+'оплата труда'!D50</f>
        <v>0</v>
      </c>
      <c r="D16" s="64">
        <f>'оплата труда'!E49+'оплата труда'!E50</f>
        <v>0</v>
      </c>
      <c r="E16" s="64">
        <f>'оплата труда'!F49+'оплата труда'!F50</f>
        <v>0</v>
      </c>
      <c r="F16" s="64">
        <f>'оплата труда'!G49+'оплата труда'!G50</f>
        <v>0</v>
      </c>
      <c r="G16" s="64">
        <f>'оплата труда'!H49+'оплата труда'!H50</f>
        <v>0</v>
      </c>
      <c r="H16" s="64">
        <f>'оплата труда'!I49+'оплата труда'!I50</f>
        <v>0</v>
      </c>
      <c r="I16" s="64">
        <f>'оплата труда'!J49+'оплата труда'!J50</f>
        <v>0</v>
      </c>
      <c r="J16" s="64">
        <f>'оплата труда'!K49+'оплата труда'!K50</f>
        <v>0</v>
      </c>
    </row>
    <row r="17" spans="1:10" ht="24" customHeight="1">
      <c r="A17" s="558" t="s">
        <v>427</v>
      </c>
      <c r="B17" s="56" t="s">
        <v>417</v>
      </c>
      <c r="C17" s="64">
        <f>'прочие ремонтные расх.'!C6</f>
        <v>0</v>
      </c>
      <c r="D17" s="64">
        <f>'прочие ремонтные расх.'!D6</f>
        <v>0</v>
      </c>
      <c r="E17" s="64">
        <f>'прочие ремонтные расх.'!E6</f>
        <v>0</v>
      </c>
      <c r="F17" s="64">
        <f>'прочие ремонтные расх.'!F6</f>
        <v>0.1</v>
      </c>
      <c r="G17" s="64">
        <f>'прочие ремонтные расх.'!G6</f>
        <v>0.1</v>
      </c>
      <c r="H17" s="64">
        <f>'прочие ремонтные расх.'!H6</f>
        <v>0</v>
      </c>
      <c r="I17" s="64">
        <f>'прочие ремонтные расх.'!I6</f>
        <v>0.3</v>
      </c>
      <c r="J17" s="64">
        <f>'прочие ремонтные расх.'!J6</f>
        <v>0</v>
      </c>
    </row>
    <row r="18" spans="1:10" ht="18" customHeight="1" thickBot="1">
      <c r="A18" s="558" t="s">
        <v>122</v>
      </c>
      <c r="B18" s="564" t="s">
        <v>258</v>
      </c>
      <c r="C18" s="555">
        <f>C19+C20+C21</f>
        <v>6.26</v>
      </c>
      <c r="D18" s="555">
        <f aca="true" t="shared" si="3" ref="D18:J18">D19+D20+D21</f>
        <v>-5.48</v>
      </c>
      <c r="E18" s="555">
        <f t="shared" si="3"/>
        <v>6.32</v>
      </c>
      <c r="F18" s="555">
        <f t="shared" si="3"/>
        <v>11.57</v>
      </c>
      <c r="G18" s="555">
        <f t="shared" si="3"/>
        <v>16.63</v>
      </c>
      <c r="H18" s="555">
        <f t="shared" si="3"/>
        <v>0</v>
      </c>
      <c r="I18" s="555">
        <f t="shared" si="3"/>
        <v>26.41</v>
      </c>
      <c r="J18" s="555">
        <f t="shared" si="3"/>
        <v>0</v>
      </c>
    </row>
    <row r="19" spans="1:10" ht="21" customHeight="1">
      <c r="A19" s="558" t="s">
        <v>78</v>
      </c>
      <c r="B19" s="476" t="s">
        <v>64</v>
      </c>
      <c r="C19" s="559">
        <f>'общехоз. расх.'!C6</f>
        <v>0</v>
      </c>
      <c r="D19" s="559">
        <f>'общехоз. расх.'!D6</f>
        <v>-11.4</v>
      </c>
      <c r="E19" s="559">
        <f>'общехоз. расх.'!E6</f>
        <v>0</v>
      </c>
      <c r="F19" s="559">
        <f>'общехоз. расх.'!F6</f>
        <v>0</v>
      </c>
      <c r="G19" s="559">
        <f>'общехоз. расх.'!G6</f>
        <v>5.45</v>
      </c>
      <c r="H19" s="559">
        <f>'общехоз. расх.'!H6</f>
        <v>0</v>
      </c>
      <c r="I19" s="559">
        <f>'общехоз. расх.'!I6</f>
        <v>10</v>
      </c>
      <c r="J19" s="559">
        <f>'общехоз. расх.'!J6</f>
        <v>0</v>
      </c>
    </row>
    <row r="20" spans="1:10" ht="57.75" customHeight="1">
      <c r="A20" s="558" t="s">
        <v>79</v>
      </c>
      <c r="B20" s="562" t="s">
        <v>259</v>
      </c>
      <c r="C20" s="64">
        <f>'оплата труда'!D72+'оплата труда'!D73</f>
        <v>0</v>
      </c>
      <c r="D20" s="64">
        <f>'оплата труда'!E72+'оплата труда'!E73</f>
        <v>5.73</v>
      </c>
      <c r="E20" s="64">
        <f>'оплата труда'!F72+'оплата труда'!F73</f>
        <v>0</v>
      </c>
      <c r="F20" s="64">
        <f>'оплата труда'!G72+'оплата труда'!G73</f>
        <v>11.57</v>
      </c>
      <c r="G20" s="64">
        <f>'оплата труда'!H72+'оплата труда'!H73</f>
        <v>11.18</v>
      </c>
      <c r="H20" s="64">
        <f>'оплата труда'!I72+'оплата труда'!I73</f>
        <v>0</v>
      </c>
      <c r="I20" s="64">
        <f>'оплата труда'!J72+'оплата труда'!J73</f>
        <v>16.41</v>
      </c>
      <c r="J20" s="64">
        <f>'оплата труда'!K72+'оплата труда'!K73</f>
        <v>0</v>
      </c>
    </row>
    <row r="21" spans="1:10" ht="41.25" customHeight="1">
      <c r="A21" s="558" t="s">
        <v>260</v>
      </c>
      <c r="B21" s="562" t="s">
        <v>419</v>
      </c>
      <c r="C21" s="64">
        <f>амортизация!D18</f>
        <v>6.26</v>
      </c>
      <c r="D21" s="64">
        <f>амортизация!E18</f>
        <v>0.19</v>
      </c>
      <c r="E21" s="64">
        <f>амортизация!F18</f>
        <v>6.32</v>
      </c>
      <c r="F21" s="64">
        <f>амортизация!G18</f>
        <v>0</v>
      </c>
      <c r="G21" s="64">
        <f>амортизация!H18</f>
        <v>0</v>
      </c>
      <c r="H21" s="64">
        <f>амортизация!I18</f>
        <v>0</v>
      </c>
      <c r="I21" s="64">
        <f>G21</f>
        <v>0</v>
      </c>
      <c r="J21" s="64">
        <f>H21</f>
        <v>0</v>
      </c>
    </row>
  </sheetData>
  <sheetProtection password="C8D1" sheet="1" objects="1" scenarios="1" formatCells="0"/>
  <mergeCells count="9">
    <mergeCell ref="A1:J1"/>
    <mergeCell ref="A2:I2"/>
    <mergeCell ref="A3:J3"/>
    <mergeCell ref="B4:B5"/>
    <mergeCell ref="A4:A5"/>
    <mergeCell ref="I4:J4"/>
    <mergeCell ref="G4:H4"/>
    <mergeCell ref="E4:F4"/>
    <mergeCell ref="C4:D4"/>
  </mergeCells>
  <printOptions/>
  <pageMargins left="0.15748031496062992" right="0" top="0.3937007874015748" bottom="0.3937007874015748" header="0" footer="0"/>
  <pageSetup fitToHeight="0" fitToWidth="1" horizontalDpi="600" verticalDpi="600" orientation="portrait" paperSize="9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0"/>
  <dimension ref="A1:W29"/>
  <sheetViews>
    <sheetView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7" sqref="O7"/>
    </sheetView>
  </sheetViews>
  <sheetFormatPr defaultColWidth="9.140625" defaultRowHeight="12.75"/>
  <cols>
    <col min="1" max="1" width="6.140625" style="27" customWidth="1"/>
    <col min="2" max="2" width="29.8515625" style="27" customWidth="1"/>
    <col min="3" max="3" width="9.140625" style="27" customWidth="1"/>
    <col min="4" max="23" width="12.8515625" style="27" customWidth="1"/>
    <col min="24" max="16384" width="9.140625" style="27" customWidth="1"/>
  </cols>
  <sheetData>
    <row r="1" spans="1:23" ht="12.75">
      <c r="A1" s="1134" t="str">
        <f>анкета!C6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</row>
    <row r="2" spans="2:23" ht="15">
      <c r="B2" s="807" t="s">
        <v>474</v>
      </c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</row>
    <row r="4" spans="1:23" ht="22.5" customHeight="1">
      <c r="A4" s="1009" t="s">
        <v>354</v>
      </c>
      <c r="B4" s="1136"/>
      <c r="C4" s="1006" t="s">
        <v>366</v>
      </c>
      <c r="D4" s="986" t="s">
        <v>164</v>
      </c>
      <c r="E4" s="1141"/>
      <c r="F4" s="1141"/>
      <c r="G4" s="1141"/>
      <c r="H4" s="1141"/>
      <c r="I4" s="1141"/>
      <c r="J4" s="1141"/>
      <c r="K4" s="1141"/>
      <c r="L4" s="1141"/>
      <c r="M4" s="1142"/>
      <c r="N4" s="986" t="s">
        <v>2</v>
      </c>
      <c r="O4" s="1141"/>
      <c r="P4" s="1141"/>
      <c r="Q4" s="1141"/>
      <c r="R4" s="1141"/>
      <c r="S4" s="1141"/>
      <c r="T4" s="1141"/>
      <c r="U4" s="1141"/>
      <c r="V4" s="1141"/>
      <c r="W4" s="1142"/>
    </row>
    <row r="5" spans="1:23" ht="22.5" customHeight="1">
      <c r="A5" s="1010"/>
      <c r="B5" s="1137"/>
      <c r="C5" s="1007"/>
      <c r="D5" s="1138" t="str">
        <f>year1</f>
        <v>2019</v>
      </c>
      <c r="E5" s="1139"/>
      <c r="F5" s="1143">
        <f>year2</f>
        <v>2020</v>
      </c>
      <c r="G5" s="1139"/>
      <c r="H5" s="1140">
        <f>year3</f>
        <v>2021</v>
      </c>
      <c r="I5" s="1140"/>
      <c r="J5" s="1140">
        <f>year4</f>
        <v>2022</v>
      </c>
      <c r="K5" s="1140"/>
      <c r="L5" s="1143">
        <f>year5</f>
        <v>2023</v>
      </c>
      <c r="M5" s="1139"/>
      <c r="N5" s="1138" t="str">
        <f>year1</f>
        <v>2019</v>
      </c>
      <c r="O5" s="1139"/>
      <c r="P5" s="1143">
        <f>year2</f>
        <v>2020</v>
      </c>
      <c r="Q5" s="1139"/>
      <c r="R5" s="1140">
        <f>year3</f>
        <v>2021</v>
      </c>
      <c r="S5" s="1140"/>
      <c r="T5" s="1140">
        <f>year4</f>
        <v>2022</v>
      </c>
      <c r="U5" s="1140"/>
      <c r="V5" s="1143">
        <f>year5</f>
        <v>2023</v>
      </c>
      <c r="W5" s="1139"/>
    </row>
    <row r="6" spans="1:23" ht="17.25" customHeight="1" thickBot="1">
      <c r="A6" s="1010"/>
      <c r="B6" s="1137"/>
      <c r="C6" s="1007"/>
      <c r="D6" s="565" t="s">
        <v>367</v>
      </c>
      <c r="E6" s="460" t="s">
        <v>368</v>
      </c>
      <c r="F6" s="460" t="s">
        <v>367</v>
      </c>
      <c r="G6" s="460" t="s">
        <v>368</v>
      </c>
      <c r="H6" s="460" t="s">
        <v>367</v>
      </c>
      <c r="I6" s="460" t="s">
        <v>368</v>
      </c>
      <c r="J6" s="460" t="s">
        <v>367</v>
      </c>
      <c r="K6" s="460" t="s">
        <v>368</v>
      </c>
      <c r="L6" s="460" t="s">
        <v>367</v>
      </c>
      <c r="M6" s="460" t="s">
        <v>368</v>
      </c>
      <c r="N6" s="565" t="s">
        <v>367</v>
      </c>
      <c r="O6" s="460" t="s">
        <v>368</v>
      </c>
      <c r="P6" s="460" t="s">
        <v>367</v>
      </c>
      <c r="Q6" s="460" t="s">
        <v>368</v>
      </c>
      <c r="R6" s="460" t="s">
        <v>367</v>
      </c>
      <c r="S6" s="460" t="s">
        <v>368</v>
      </c>
      <c r="T6" s="460" t="s">
        <v>367</v>
      </c>
      <c r="U6" s="460" t="s">
        <v>368</v>
      </c>
      <c r="V6" s="460" t="s">
        <v>367</v>
      </c>
      <c r="W6" s="460" t="s">
        <v>368</v>
      </c>
    </row>
    <row r="7" spans="1:23" ht="37.5" customHeight="1">
      <c r="A7" s="566">
        <v>1</v>
      </c>
      <c r="B7" s="134" t="s">
        <v>370</v>
      </c>
      <c r="C7" s="101" t="s">
        <v>206</v>
      </c>
      <c r="D7" s="572">
        <f aca="true" t="shared" si="0" ref="D7:G8">N7</f>
        <v>0</v>
      </c>
      <c r="E7" s="572">
        <v>4</v>
      </c>
      <c r="F7" s="572">
        <f t="shared" si="0"/>
        <v>0</v>
      </c>
      <c r="G7" s="572">
        <v>4</v>
      </c>
      <c r="H7" s="572">
        <v>0</v>
      </c>
      <c r="I7" s="572">
        <v>4</v>
      </c>
      <c r="J7" s="572">
        <v>0</v>
      </c>
      <c r="K7" s="572">
        <v>4</v>
      </c>
      <c r="L7" s="572">
        <f>V7</f>
        <v>0</v>
      </c>
      <c r="M7" s="572">
        <v>4</v>
      </c>
      <c r="N7" s="573">
        <v>0</v>
      </c>
      <c r="O7" s="378"/>
      <c r="P7" s="573">
        <v>0</v>
      </c>
      <c r="Q7" s="378"/>
      <c r="R7" s="573">
        <v>0</v>
      </c>
      <c r="S7" s="378"/>
      <c r="T7" s="573">
        <v>0</v>
      </c>
      <c r="U7" s="378"/>
      <c r="V7" s="573">
        <v>0</v>
      </c>
      <c r="W7" s="378"/>
    </row>
    <row r="8" spans="1:23" ht="41.25" customHeight="1">
      <c r="A8" s="567">
        <v>2</v>
      </c>
      <c r="B8" s="134" t="s">
        <v>369</v>
      </c>
      <c r="C8" s="101" t="s">
        <v>206</v>
      </c>
      <c r="D8" s="572">
        <f t="shared" si="0"/>
        <v>0</v>
      </c>
      <c r="E8" s="572">
        <f t="shared" si="0"/>
        <v>1</v>
      </c>
      <c r="F8" s="572">
        <f t="shared" si="0"/>
        <v>0</v>
      </c>
      <c r="G8" s="572">
        <f t="shared" si="0"/>
        <v>1</v>
      </c>
      <c r="H8" s="572">
        <v>0</v>
      </c>
      <c r="I8" s="572">
        <v>1</v>
      </c>
      <c r="J8" s="572">
        <v>0</v>
      </c>
      <c r="K8" s="572">
        <v>1</v>
      </c>
      <c r="L8" s="572">
        <f>V8</f>
        <v>0</v>
      </c>
      <c r="M8" s="572">
        <f>W8</f>
        <v>1</v>
      </c>
      <c r="N8" s="573">
        <v>0</v>
      </c>
      <c r="O8" s="573">
        <v>1</v>
      </c>
      <c r="P8" s="573">
        <v>0</v>
      </c>
      <c r="Q8" s="573">
        <v>1</v>
      </c>
      <c r="R8" s="573">
        <v>0</v>
      </c>
      <c r="S8" s="573">
        <v>1</v>
      </c>
      <c r="T8" s="573">
        <v>0</v>
      </c>
      <c r="U8" s="573">
        <v>1</v>
      </c>
      <c r="V8" s="573">
        <v>0</v>
      </c>
      <c r="W8" s="573">
        <v>1</v>
      </c>
    </row>
    <row r="9" spans="1:23" ht="35.25" customHeight="1">
      <c r="A9" s="567">
        <v>3</v>
      </c>
      <c r="B9" s="134" t="s">
        <v>376</v>
      </c>
      <c r="C9" s="101" t="s">
        <v>206</v>
      </c>
      <c r="D9" s="572">
        <v>0</v>
      </c>
      <c r="E9" s="572">
        <f>'Расч.индекса изм.активов'!L19</f>
        <v>1</v>
      </c>
      <c r="F9" s="572">
        <v>0</v>
      </c>
      <c r="G9" s="572">
        <v>1</v>
      </c>
      <c r="H9" s="572">
        <v>0</v>
      </c>
      <c r="I9" s="572">
        <v>1</v>
      </c>
      <c r="J9" s="572">
        <v>0</v>
      </c>
      <c r="K9" s="572">
        <v>1</v>
      </c>
      <c r="L9" s="572">
        <v>0</v>
      </c>
      <c r="M9" s="572">
        <v>1</v>
      </c>
      <c r="N9" s="573">
        <v>0</v>
      </c>
      <c r="O9" s="573">
        <f>'Расч.индекса изм.активов'!M19</f>
        <v>1</v>
      </c>
      <c r="P9" s="573">
        <v>0</v>
      </c>
      <c r="Q9" s="573">
        <v>1</v>
      </c>
      <c r="R9" s="573">
        <v>0</v>
      </c>
      <c r="S9" s="573">
        <v>1</v>
      </c>
      <c r="T9" s="573">
        <v>0</v>
      </c>
      <c r="U9" s="573">
        <v>1</v>
      </c>
      <c r="V9" s="573">
        <v>0</v>
      </c>
      <c r="W9" s="573">
        <v>1</v>
      </c>
    </row>
    <row r="10" spans="1:23" ht="21" customHeight="1">
      <c r="A10" s="567">
        <v>4</v>
      </c>
      <c r="B10" s="134" t="s">
        <v>371</v>
      </c>
      <c r="C10" s="101"/>
      <c r="D10" s="554">
        <v>1</v>
      </c>
      <c r="E10" s="554">
        <f>(1-E8/100)*(1+E7/100)*(1+E9/100)</f>
        <v>1.04</v>
      </c>
      <c r="F10" s="554">
        <v>1</v>
      </c>
      <c r="G10" s="554">
        <f>(1-G8/100)*(1+G7/100)*(1+G9/100)</f>
        <v>1.04</v>
      </c>
      <c r="H10" s="554">
        <v>1</v>
      </c>
      <c r="I10" s="554">
        <f>(1-I8/100)*(1+I7/100)*(1+I9/100)</f>
        <v>1.04</v>
      </c>
      <c r="J10" s="554">
        <v>1</v>
      </c>
      <c r="K10" s="554">
        <f>(1-K8/100)*(1+K7/100)*(1+K9/100)</f>
        <v>1.04</v>
      </c>
      <c r="L10" s="554">
        <v>1</v>
      </c>
      <c r="M10" s="554">
        <f>(1-M8/100)*(1+M7/100)*(1+M9/100)</f>
        <v>1.04</v>
      </c>
      <c r="N10" s="554">
        <v>1</v>
      </c>
      <c r="O10" s="554">
        <f>(1-O8/100)*(1+O7/100)*(1+O9/100)</f>
        <v>1</v>
      </c>
      <c r="P10" s="554">
        <v>1</v>
      </c>
      <c r="Q10" s="554">
        <f>(1-Q8/100)*(1+Q7/100)*(1+Q9/100)</f>
        <v>1</v>
      </c>
      <c r="R10" s="553">
        <v>1</v>
      </c>
      <c r="S10" s="553">
        <f>(1-S8/100)*(1+S7/100)*(1+S9/100)</f>
        <v>1</v>
      </c>
      <c r="T10" s="554">
        <f>(1-T8/100)*(1+T7/100)*(1+T9/100)</f>
        <v>1</v>
      </c>
      <c r="U10" s="554">
        <f>(1-U8/100)*(1+U7/100)*(1+U9/100)</f>
        <v>1</v>
      </c>
      <c r="V10" s="554">
        <f>(1-V8/100)*(1+V7/100)*(1+V9/100)</f>
        <v>1</v>
      </c>
      <c r="W10" s="554">
        <f>(1-W8/100)*(1+W7/100)*(1+W9/100)</f>
        <v>1</v>
      </c>
    </row>
    <row r="11" spans="1:23" ht="24" customHeight="1" thickBot="1">
      <c r="A11" s="568">
        <v>5</v>
      </c>
      <c r="B11" s="134" t="s">
        <v>279</v>
      </c>
      <c r="C11" s="101" t="s">
        <v>109</v>
      </c>
      <c r="D11" s="554">
        <f>'баз.уровень операц расх'!G6</f>
        <v>53.46</v>
      </c>
      <c r="E11" s="554">
        <f>'баз.уровень операц расх'!I6</f>
        <v>102.25</v>
      </c>
      <c r="F11" s="554">
        <f>E11</f>
        <v>102.25</v>
      </c>
      <c r="G11" s="554">
        <f>F11*G10</f>
        <v>106.34</v>
      </c>
      <c r="H11" s="554">
        <f>G11</f>
        <v>106.34</v>
      </c>
      <c r="I11" s="554">
        <f>H11*I10</f>
        <v>110.59</v>
      </c>
      <c r="J11" s="554">
        <f>I11</f>
        <v>110.59</v>
      </c>
      <c r="K11" s="554">
        <f>J11*K10</f>
        <v>115.01</v>
      </c>
      <c r="L11" s="554">
        <f>K11</f>
        <v>115.01</v>
      </c>
      <c r="M11" s="554">
        <f>L11*M10</f>
        <v>119.61</v>
      </c>
      <c r="N11" s="554">
        <f>'баз.уровень операц расх'!H6</f>
        <v>0</v>
      </c>
      <c r="O11" s="554">
        <f>'баз.уровень операц расх'!J6</f>
        <v>0</v>
      </c>
      <c r="P11" s="554">
        <f>O11</f>
        <v>0</v>
      </c>
      <c r="Q11" s="554">
        <f>P11*Q10</f>
        <v>0</v>
      </c>
      <c r="R11" s="554">
        <f>Q11</f>
        <v>0</v>
      </c>
      <c r="S11" s="554">
        <f>R11*S10</f>
        <v>0</v>
      </c>
      <c r="T11" s="554">
        <f>S11</f>
        <v>0</v>
      </c>
      <c r="U11" s="554">
        <f>T11*U10</f>
        <v>0</v>
      </c>
      <c r="V11" s="554">
        <f>U11</f>
        <v>0</v>
      </c>
      <c r="W11" s="554">
        <f>V11*W10</f>
        <v>0</v>
      </c>
    </row>
    <row r="20" spans="5:21" ht="12.75">
      <c r="E20" s="1144"/>
      <c r="F20" s="1135"/>
      <c r="G20" s="1135"/>
      <c r="H20" s="570"/>
      <c r="I20" s="570"/>
      <c r="J20" s="570"/>
      <c r="K20" s="570"/>
      <c r="L20" s="1135"/>
      <c r="M20" s="1135"/>
      <c r="N20" s="1135"/>
      <c r="O20" s="1135"/>
      <c r="P20" s="571"/>
      <c r="Q20" s="571"/>
      <c r="R20" s="571"/>
      <c r="S20" s="571"/>
      <c r="T20" s="571"/>
      <c r="U20" s="571"/>
    </row>
    <row r="21" spans="5:21" ht="12.75">
      <c r="E21" s="1144"/>
      <c r="F21" s="1144"/>
      <c r="G21" s="1144"/>
      <c r="H21" s="569"/>
      <c r="I21" s="569"/>
      <c r="J21" s="569"/>
      <c r="K21" s="569"/>
      <c r="L21" s="1144"/>
      <c r="M21" s="1144"/>
      <c r="N21" s="1144"/>
      <c r="O21" s="1144"/>
      <c r="P21" s="571"/>
      <c r="Q21" s="571"/>
      <c r="R21" s="571"/>
      <c r="S21" s="571"/>
      <c r="T21" s="571"/>
      <c r="U21" s="571"/>
    </row>
    <row r="22" spans="5:21" ht="12.75">
      <c r="E22" s="1144"/>
      <c r="F22" s="1144"/>
      <c r="G22" s="1144"/>
      <c r="H22" s="569"/>
      <c r="I22" s="569"/>
      <c r="J22" s="569"/>
      <c r="K22" s="569"/>
      <c r="L22" s="1144"/>
      <c r="M22" s="1144"/>
      <c r="N22" s="1144"/>
      <c r="O22" s="1144"/>
      <c r="P22" s="571"/>
      <c r="Q22" s="571"/>
      <c r="R22" s="571"/>
      <c r="S22" s="571"/>
      <c r="T22" s="571"/>
      <c r="U22" s="571"/>
    </row>
    <row r="23" spans="5:21" ht="12.75"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571"/>
      <c r="Q23" s="571"/>
      <c r="R23" s="571"/>
      <c r="S23" s="571"/>
      <c r="T23" s="571"/>
      <c r="U23" s="571"/>
    </row>
    <row r="24" spans="5:21" ht="12.75"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571"/>
      <c r="Q24" s="571"/>
      <c r="R24" s="571"/>
      <c r="S24" s="571"/>
      <c r="T24" s="571"/>
      <c r="U24" s="571"/>
    </row>
    <row r="25" spans="5:21" ht="12.75"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571"/>
      <c r="Q25" s="571"/>
      <c r="R25" s="571"/>
      <c r="S25" s="571"/>
      <c r="T25" s="571"/>
      <c r="U25" s="571"/>
    </row>
    <row r="26" spans="5:21" ht="12.75">
      <c r="E26" s="343"/>
      <c r="F26" s="1135"/>
      <c r="G26" s="1135"/>
      <c r="H26" s="570"/>
      <c r="I26" s="570"/>
      <c r="J26" s="570"/>
      <c r="K26" s="570"/>
      <c r="L26" s="1135"/>
      <c r="M26" s="1135"/>
      <c r="N26" s="1135"/>
      <c r="O26" s="1135"/>
      <c r="P26" s="571"/>
      <c r="Q26" s="571"/>
      <c r="R26" s="571"/>
      <c r="S26" s="571"/>
      <c r="T26" s="571"/>
      <c r="U26" s="571"/>
    </row>
    <row r="27" spans="5:21" ht="12.75"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571"/>
      <c r="Q27" s="571"/>
      <c r="R27" s="571"/>
      <c r="S27" s="571"/>
      <c r="T27" s="571"/>
      <c r="U27" s="571"/>
    </row>
    <row r="28" spans="5:21" ht="12.75">
      <c r="E28" s="162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571"/>
      <c r="Q28" s="571"/>
      <c r="R28" s="571"/>
      <c r="S28" s="571"/>
      <c r="T28" s="571"/>
      <c r="U28" s="571"/>
    </row>
    <row r="29" spans="5:21" ht="12.75">
      <c r="E29" s="343"/>
      <c r="F29" s="1135"/>
      <c r="G29" s="1135"/>
      <c r="H29" s="570"/>
      <c r="I29" s="570"/>
      <c r="J29" s="570"/>
      <c r="K29" s="570"/>
      <c r="L29" s="1135"/>
      <c r="M29" s="1135"/>
      <c r="N29" s="1135"/>
      <c r="O29" s="1135"/>
      <c r="P29" s="571"/>
      <c r="Q29" s="571"/>
      <c r="R29" s="571"/>
      <c r="S29" s="571"/>
      <c r="T29" s="571"/>
      <c r="U29" s="571"/>
    </row>
  </sheetData>
  <sheetProtection password="C8D1" sheet="1" scenarios="1" formatRows="0"/>
  <mergeCells count="33">
    <mergeCell ref="D4:M4"/>
    <mergeCell ref="F29:G29"/>
    <mergeCell ref="L29:M29"/>
    <mergeCell ref="N29:O29"/>
    <mergeCell ref="M21:M22"/>
    <mergeCell ref="N21:N22"/>
    <mergeCell ref="O21:O22"/>
    <mergeCell ref="F26:G26"/>
    <mergeCell ref="L26:M26"/>
    <mergeCell ref="N26:O26"/>
    <mergeCell ref="E20:E22"/>
    <mergeCell ref="F20:G20"/>
    <mergeCell ref="L20:M20"/>
    <mergeCell ref="F21:F22"/>
    <mergeCell ref="G21:G22"/>
    <mergeCell ref="L21:L22"/>
    <mergeCell ref="N5:O5"/>
    <mergeCell ref="P5:Q5"/>
    <mergeCell ref="F5:G5"/>
    <mergeCell ref="L5:M5"/>
    <mergeCell ref="V5:W5"/>
    <mergeCell ref="H5:I5"/>
    <mergeCell ref="T5:U5"/>
    <mergeCell ref="B2:W2"/>
    <mergeCell ref="A1:W1"/>
    <mergeCell ref="N20:O20"/>
    <mergeCell ref="B4:B6"/>
    <mergeCell ref="A4:A6"/>
    <mergeCell ref="D5:E5"/>
    <mergeCell ref="C4:C6"/>
    <mergeCell ref="J5:K5"/>
    <mergeCell ref="R5:S5"/>
    <mergeCell ref="N4:W4"/>
  </mergeCells>
  <printOptions/>
  <pageMargins left="0.11811023622047245" right="0" top="0.7480314960629921" bottom="0.5511811023622047" header="0" footer="0"/>
  <pageSetup horizontalDpi="600" verticalDpi="600" orientation="landscape" paperSize="9" scale="4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_uncont"/>
  <dimension ref="A1:AA24"/>
  <sheetViews>
    <sheetView zoomScale="90" zoomScaleNormal="90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26" width="14.00390625" style="27" customWidth="1"/>
    <col min="27" max="16384" width="9.140625" style="27" customWidth="1"/>
  </cols>
  <sheetData>
    <row r="1" spans="1:26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</row>
    <row r="2" spans="1:10" ht="12.75">
      <c r="A2" s="839"/>
      <c r="B2" s="839"/>
      <c r="C2" s="839"/>
      <c r="D2" s="839"/>
      <c r="E2" s="839"/>
      <c r="F2" s="839"/>
      <c r="G2" s="839"/>
      <c r="H2" s="839"/>
      <c r="I2" s="839"/>
      <c r="J2" s="34"/>
    </row>
    <row r="3" spans="1:23" ht="12.75">
      <c r="A3" s="1097" t="s">
        <v>271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</row>
    <row r="4" spans="1:26" ht="36.75" customHeight="1">
      <c r="A4" s="1122" t="s">
        <v>5</v>
      </c>
      <c r="B4" s="845" t="s">
        <v>124</v>
      </c>
      <c r="C4" s="1058">
        <f>Заголовок!C14</f>
        <v>2017</v>
      </c>
      <c r="D4" s="1058"/>
      <c r="E4" s="1058">
        <f>Заголовок!C15</f>
        <v>2018</v>
      </c>
      <c r="F4" s="1058"/>
      <c r="G4" s="1062" t="str">
        <f>Заголовок!D17</f>
        <v>01.01.2019-30.06.2019</v>
      </c>
      <c r="H4" s="1058"/>
      <c r="I4" s="1062" t="str">
        <f>Заголовок!E17</f>
        <v>01.07.2019-31.12.2019</v>
      </c>
      <c r="J4" s="1058"/>
      <c r="K4" s="1062" t="str">
        <f>Заголовок!D18</f>
        <v>01.01.2020-30.06.2020</v>
      </c>
      <c r="L4" s="1058"/>
      <c r="M4" s="1062" t="str">
        <f>Заголовок!E18</f>
        <v>01.07.2020-31.12.2020</v>
      </c>
      <c r="N4" s="1058"/>
      <c r="O4" s="1023" t="str">
        <f>Заголовок!D19</f>
        <v>01.01.2021-30.06.2021</v>
      </c>
      <c r="P4" s="1022"/>
      <c r="Q4" s="1023" t="str">
        <f>Заголовок!E19</f>
        <v>01.07.2021-31.12.2021</v>
      </c>
      <c r="R4" s="1022"/>
      <c r="S4" s="1023" t="str">
        <f>Заголовок!D20</f>
        <v>01.01.2022-30.06.2022</v>
      </c>
      <c r="T4" s="1022"/>
      <c r="U4" s="1023" t="str">
        <f>Заголовок!E20</f>
        <v>01.07.2022-31.12.2022</v>
      </c>
      <c r="V4" s="1022"/>
      <c r="W4" s="1062" t="str">
        <f>Заголовок!D21</f>
        <v>01.01.2023-30.06.2023</v>
      </c>
      <c r="X4" s="1058"/>
      <c r="Y4" s="1062" t="str">
        <f>Заголовок!E21</f>
        <v>01.07.2023-31.12.2023</v>
      </c>
      <c r="Z4" s="1058"/>
    </row>
    <row r="5" spans="1:26" ht="25.5">
      <c r="A5" s="1122"/>
      <c r="B5" s="845"/>
      <c r="C5" s="40" t="s">
        <v>190</v>
      </c>
      <c r="D5" s="40" t="s">
        <v>191</v>
      </c>
      <c r="E5" s="40" t="s">
        <v>190</v>
      </c>
      <c r="F5" s="40" t="s">
        <v>192</v>
      </c>
      <c r="G5" s="40" t="s">
        <v>1</v>
      </c>
      <c r="H5" s="40" t="s">
        <v>2</v>
      </c>
      <c r="I5" s="40" t="s">
        <v>1</v>
      </c>
      <c r="J5" s="40" t="s">
        <v>2</v>
      </c>
      <c r="K5" s="40" t="s">
        <v>1</v>
      </c>
      <c r="L5" s="40" t="s">
        <v>2</v>
      </c>
      <c r="M5" s="40" t="s">
        <v>1</v>
      </c>
      <c r="N5" s="40" t="s">
        <v>2</v>
      </c>
      <c r="O5" s="40" t="s">
        <v>1</v>
      </c>
      <c r="P5" s="40" t="s">
        <v>2</v>
      </c>
      <c r="Q5" s="40" t="s">
        <v>1</v>
      </c>
      <c r="R5" s="40" t="s">
        <v>2</v>
      </c>
      <c r="S5" s="40" t="s">
        <v>1</v>
      </c>
      <c r="T5" s="40" t="s">
        <v>2</v>
      </c>
      <c r="U5" s="40" t="s">
        <v>1</v>
      </c>
      <c r="V5" s="40" t="s">
        <v>2</v>
      </c>
      <c r="W5" s="40" t="s">
        <v>1</v>
      </c>
      <c r="X5" s="40" t="s">
        <v>2</v>
      </c>
      <c r="Y5" s="40" t="s">
        <v>1</v>
      </c>
      <c r="Z5" s="40" t="s">
        <v>2</v>
      </c>
    </row>
    <row r="6" spans="1:26" ht="42.75" customHeight="1">
      <c r="A6" s="30">
        <v>1</v>
      </c>
      <c r="B6" s="56" t="s">
        <v>473</v>
      </c>
      <c r="C6" s="64">
        <f aca="true" t="shared" si="0" ref="C6:Z6">SUM(C7:C18)</f>
        <v>365.74</v>
      </c>
      <c r="D6" s="64">
        <f t="shared" si="0"/>
        <v>18.4</v>
      </c>
      <c r="E6" s="64">
        <f t="shared" si="0"/>
        <v>75.49</v>
      </c>
      <c r="F6" s="64">
        <f t="shared" si="0"/>
        <v>23</v>
      </c>
      <c r="G6" s="64">
        <f t="shared" si="0"/>
        <v>22</v>
      </c>
      <c r="H6" s="64">
        <f t="shared" si="0"/>
        <v>0</v>
      </c>
      <c r="I6" s="64">
        <f t="shared" si="0"/>
        <v>23.4</v>
      </c>
      <c r="J6" s="64">
        <f t="shared" si="0"/>
        <v>0</v>
      </c>
      <c r="K6" s="64">
        <f t="shared" si="0"/>
        <v>23.4</v>
      </c>
      <c r="L6" s="64">
        <f t="shared" si="0"/>
        <v>0</v>
      </c>
      <c r="M6" s="64">
        <f t="shared" si="0"/>
        <v>25</v>
      </c>
      <c r="N6" s="64">
        <f t="shared" si="0"/>
        <v>0</v>
      </c>
      <c r="O6" s="64">
        <f t="shared" si="0"/>
        <v>25</v>
      </c>
      <c r="P6" s="64">
        <f t="shared" si="0"/>
        <v>0</v>
      </c>
      <c r="Q6" s="64">
        <f t="shared" si="0"/>
        <v>25.6</v>
      </c>
      <c r="R6" s="64">
        <f t="shared" si="0"/>
        <v>0</v>
      </c>
      <c r="S6" s="64">
        <f t="shared" si="0"/>
        <v>25.58</v>
      </c>
      <c r="T6" s="64">
        <f t="shared" si="0"/>
        <v>0</v>
      </c>
      <c r="U6" s="64">
        <f t="shared" si="0"/>
        <v>26.4</v>
      </c>
      <c r="V6" s="64">
        <f t="shared" si="0"/>
        <v>0</v>
      </c>
      <c r="W6" s="64">
        <f t="shared" si="0"/>
        <v>26.4</v>
      </c>
      <c r="X6" s="64">
        <f t="shared" si="0"/>
        <v>0</v>
      </c>
      <c r="Y6" s="64">
        <f t="shared" si="0"/>
        <v>27.6</v>
      </c>
      <c r="Z6" s="64">
        <f t="shared" si="0"/>
        <v>0</v>
      </c>
    </row>
    <row r="7" spans="1:26" ht="21.75" customHeight="1">
      <c r="A7" s="461" t="s">
        <v>10</v>
      </c>
      <c r="B7" s="562" t="s">
        <v>272</v>
      </c>
      <c r="C7" s="64">
        <f>'покупная вода'!D8</f>
        <v>0</v>
      </c>
      <c r="D7" s="64">
        <f>'покупная вода'!E8</f>
        <v>0</v>
      </c>
      <c r="E7" s="64">
        <f>'покупная вода'!F8</f>
        <v>0</v>
      </c>
      <c r="F7" s="64">
        <f>'покупная вода'!G8</f>
        <v>0</v>
      </c>
      <c r="G7" s="64">
        <f>'покупная вода'!H8</f>
        <v>0</v>
      </c>
      <c r="H7" s="64">
        <f>'покупная вода'!I8</f>
        <v>0</v>
      </c>
      <c r="I7" s="64">
        <f>'покупная вода'!J8</f>
        <v>0</v>
      </c>
      <c r="J7" s="64">
        <f>'покупная вода'!K8</f>
        <v>0</v>
      </c>
      <c r="K7" s="64">
        <f>'покупная вода'!L8</f>
        <v>0</v>
      </c>
      <c r="L7" s="64">
        <f>'покупная вода'!M8</f>
        <v>0</v>
      </c>
      <c r="M7" s="64">
        <f>'покупная вода'!N8</f>
        <v>0</v>
      </c>
      <c r="N7" s="64">
        <f>'покупная вода'!O8</f>
        <v>0</v>
      </c>
      <c r="O7" s="64">
        <f>'покупная вода'!P8</f>
        <v>0</v>
      </c>
      <c r="P7" s="64">
        <f>'покупная вода'!Q8</f>
        <v>0</v>
      </c>
      <c r="Q7" s="64">
        <f>'покупная вода'!R8</f>
        <v>0</v>
      </c>
      <c r="R7" s="64">
        <f>'покупная вода'!S8</f>
        <v>0</v>
      </c>
      <c r="S7" s="64">
        <f>'покупная вода'!T8</f>
        <v>0</v>
      </c>
      <c r="T7" s="64">
        <f>'покупная вода'!U8</f>
        <v>0</v>
      </c>
      <c r="U7" s="64">
        <f>'покупная вода'!V8</f>
        <v>0</v>
      </c>
      <c r="V7" s="64">
        <f>'покупная вода'!W8</f>
        <v>0</v>
      </c>
      <c r="W7" s="64">
        <f>'покупная вода'!X8</f>
        <v>0</v>
      </c>
      <c r="X7" s="64">
        <f>'покупная вода'!Y8</f>
        <v>0</v>
      </c>
      <c r="Y7" s="64">
        <f>'покупная вода'!Z8</f>
        <v>0</v>
      </c>
      <c r="Z7" s="64">
        <f>'покупная вода'!AA8</f>
        <v>0</v>
      </c>
    </row>
    <row r="8" spans="1:26" ht="27" customHeight="1">
      <c r="A8" s="461" t="s">
        <v>20</v>
      </c>
      <c r="B8" s="562" t="s">
        <v>273</v>
      </c>
      <c r="C8" s="64">
        <f>налоги!C6</f>
        <v>40.92</v>
      </c>
      <c r="D8" s="64">
        <f>налоги!D6</f>
        <v>6.2</v>
      </c>
      <c r="E8" s="64">
        <f>налоги!E6</f>
        <v>13.12</v>
      </c>
      <c r="F8" s="64">
        <f>налоги!F6</f>
        <v>12.9</v>
      </c>
      <c r="G8" s="64">
        <f>налоги!G6</f>
        <v>12.9</v>
      </c>
      <c r="H8" s="64">
        <f>налоги!H6</f>
        <v>0</v>
      </c>
      <c r="I8" s="64">
        <f>налоги!I6</f>
        <v>12.9</v>
      </c>
      <c r="J8" s="64">
        <f>налоги!J6</f>
        <v>0</v>
      </c>
      <c r="K8" s="64">
        <f>налоги!K6</f>
        <v>12.9</v>
      </c>
      <c r="L8" s="64">
        <f>налоги!L6</f>
        <v>0</v>
      </c>
      <c r="M8" s="64">
        <f>налоги!M6</f>
        <v>14.3</v>
      </c>
      <c r="N8" s="64">
        <f>налоги!N6</f>
        <v>0</v>
      </c>
      <c r="O8" s="64">
        <f>налоги!O6</f>
        <v>14.3</v>
      </c>
      <c r="P8" s="64">
        <f>налоги!P6</f>
        <v>0</v>
      </c>
      <c r="Q8" s="64">
        <f>налоги!Q6</f>
        <v>14.7</v>
      </c>
      <c r="R8" s="64">
        <f>налоги!R6</f>
        <v>0</v>
      </c>
      <c r="S8" s="64">
        <f>налоги!S6</f>
        <v>14.68</v>
      </c>
      <c r="T8" s="64">
        <f>налоги!T6</f>
        <v>0</v>
      </c>
      <c r="U8" s="64">
        <f>налоги!U6</f>
        <v>15.4</v>
      </c>
      <c r="V8" s="64">
        <f>налоги!V6</f>
        <v>0</v>
      </c>
      <c r="W8" s="64">
        <f>налоги!W6</f>
        <v>15.4</v>
      </c>
      <c r="X8" s="64">
        <f>налоги!X6</f>
        <v>0</v>
      </c>
      <c r="Y8" s="64">
        <f>налоги!Y6</f>
        <v>16.1</v>
      </c>
      <c r="Z8" s="64">
        <f>налоги!Z6</f>
        <v>0</v>
      </c>
    </row>
    <row r="9" spans="1:26" ht="30" customHeight="1">
      <c r="A9" s="461" t="s">
        <v>22</v>
      </c>
      <c r="B9" s="562" t="s">
        <v>274</v>
      </c>
      <c r="C9" s="64">
        <f>аренда!D6</f>
        <v>14.45</v>
      </c>
      <c r="D9" s="64">
        <f>аренда!E6</f>
        <v>0</v>
      </c>
      <c r="E9" s="64">
        <f>аренда!F6</f>
        <v>0</v>
      </c>
      <c r="F9" s="64">
        <f>аренда!G6</f>
        <v>1.1</v>
      </c>
      <c r="G9" s="64">
        <f>аренда!H6</f>
        <v>1.1</v>
      </c>
      <c r="H9" s="64">
        <f>аренда!I6</f>
        <v>0</v>
      </c>
      <c r="I9" s="64">
        <f>аренда!J6</f>
        <v>1.1</v>
      </c>
      <c r="J9" s="64">
        <f>аренда!K6</f>
        <v>0</v>
      </c>
      <c r="K9" s="64">
        <f>аренда!L6</f>
        <v>1.1</v>
      </c>
      <c r="L9" s="64">
        <f>аренда!M6</f>
        <v>0</v>
      </c>
      <c r="M9" s="64">
        <f>аренда!N6</f>
        <v>1.1</v>
      </c>
      <c r="N9" s="64">
        <f>аренда!O6</f>
        <v>0</v>
      </c>
      <c r="O9" s="64">
        <f>аренда!P6</f>
        <v>1.1</v>
      </c>
      <c r="P9" s="64">
        <f>аренда!Q6</f>
        <v>0</v>
      </c>
      <c r="Q9" s="64">
        <f>аренда!R6</f>
        <v>1.1</v>
      </c>
      <c r="R9" s="64">
        <f>аренда!S6</f>
        <v>0</v>
      </c>
      <c r="S9" s="64">
        <f>аренда!T6</f>
        <v>1.1</v>
      </c>
      <c r="T9" s="64">
        <f>аренда!U6</f>
        <v>0</v>
      </c>
      <c r="U9" s="64">
        <f>аренда!V6</f>
        <v>1.1</v>
      </c>
      <c r="V9" s="64">
        <f>аренда!W6</f>
        <v>0</v>
      </c>
      <c r="W9" s="64">
        <f>аренда!X6</f>
        <v>1.1</v>
      </c>
      <c r="X9" s="64">
        <f>аренда!Y6</f>
        <v>0</v>
      </c>
      <c r="Y9" s="64">
        <f>аренда!Z6</f>
        <v>1.1</v>
      </c>
      <c r="Z9" s="64">
        <f>аренда!AA6</f>
        <v>0</v>
      </c>
    </row>
    <row r="10" spans="1:26" ht="15.75" customHeight="1">
      <c r="A10" s="461" t="s">
        <v>28</v>
      </c>
      <c r="B10" s="562" t="s">
        <v>275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0" customHeight="1">
      <c r="A11" s="461" t="s">
        <v>30</v>
      </c>
      <c r="B11" s="562" t="s">
        <v>276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42" customHeight="1">
      <c r="A12" s="461" t="s">
        <v>36</v>
      </c>
      <c r="B12" s="562" t="s">
        <v>277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75" customHeight="1">
      <c r="A13" s="461" t="s">
        <v>38</v>
      </c>
      <c r="B13" s="562" t="s">
        <v>378</v>
      </c>
      <c r="C13" s="13">
        <v>300.57</v>
      </c>
      <c r="D13" s="13"/>
      <c r="E13" s="13">
        <v>50.67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30.75" customHeight="1">
      <c r="A14" s="461" t="s">
        <v>40</v>
      </c>
      <c r="B14" s="562" t="s">
        <v>423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60.75" customHeight="1">
      <c r="A15" s="579" t="s">
        <v>42</v>
      </c>
      <c r="B15" s="562" t="s">
        <v>477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0.75" customHeight="1">
      <c r="A16" s="580"/>
      <c r="B16" s="581" t="s">
        <v>682</v>
      </c>
      <c r="C16" s="13">
        <v>9.8</v>
      </c>
      <c r="D16" s="13">
        <v>12.2</v>
      </c>
      <c r="E16" s="13">
        <v>11.7</v>
      </c>
      <c r="F16" s="13">
        <v>9</v>
      </c>
      <c r="G16" s="13">
        <v>8</v>
      </c>
      <c r="H16" s="13"/>
      <c r="I16" s="13">
        <v>9.4</v>
      </c>
      <c r="J16" s="13"/>
      <c r="K16" s="13">
        <v>9.4</v>
      </c>
      <c r="L16" s="13"/>
      <c r="M16" s="13">
        <v>9.6</v>
      </c>
      <c r="N16" s="13"/>
      <c r="O16" s="13">
        <v>9.6</v>
      </c>
      <c r="P16" s="13"/>
      <c r="Q16" s="13">
        <v>9.8</v>
      </c>
      <c r="R16" s="13"/>
      <c r="S16" s="13">
        <v>9.8</v>
      </c>
      <c r="T16" s="13"/>
      <c r="U16" s="13">
        <v>9.9</v>
      </c>
      <c r="V16" s="13"/>
      <c r="W16" s="13">
        <v>9.9</v>
      </c>
      <c r="X16" s="13"/>
      <c r="Y16" s="13">
        <v>10.4</v>
      </c>
      <c r="Z16" s="13"/>
    </row>
    <row r="17" spans="1:27" ht="30.75" customHeight="1">
      <c r="A17" s="580"/>
      <c r="B17" s="58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800" t="s">
        <v>676</v>
      </c>
    </row>
    <row r="18" spans="1:26" ht="14.25" customHeight="1">
      <c r="A18" s="1124" t="s">
        <v>335</v>
      </c>
      <c r="B18" s="1125"/>
      <c r="C18" s="1125"/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</row>
    <row r="23" spans="1:27" s="81" customFormat="1" ht="13.5" customHeight="1">
      <c r="A23" s="1077" t="s">
        <v>428</v>
      </c>
      <c r="B23" s="1077"/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27"/>
    </row>
    <row r="24" spans="1:27" s="81" customFormat="1" ht="12.75" customHeight="1">
      <c r="A24" s="980" t="s">
        <v>429</v>
      </c>
      <c r="B24" s="980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0"/>
      <c r="AA24" s="15"/>
    </row>
  </sheetData>
  <sheetProtection password="C8D1" sheet="1" objects="1" scenarios="1" formatCells="0" formatRows="0"/>
  <mergeCells count="20">
    <mergeCell ref="A24:Z24"/>
    <mergeCell ref="A2:I2"/>
    <mergeCell ref="A4:A5"/>
    <mergeCell ref="B4:B5"/>
    <mergeCell ref="C4:D4"/>
    <mergeCell ref="E4:F4"/>
    <mergeCell ref="G4:H4"/>
    <mergeCell ref="I4:J4"/>
    <mergeCell ref="A3:W3"/>
    <mergeCell ref="K4:L4"/>
    <mergeCell ref="A23:Z23"/>
    <mergeCell ref="A18:Z18"/>
    <mergeCell ref="A1:Z1"/>
    <mergeCell ref="O4:P4"/>
    <mergeCell ref="Q4:R4"/>
    <mergeCell ref="S4:T4"/>
    <mergeCell ref="U4:V4"/>
    <mergeCell ref="M4:N4"/>
    <mergeCell ref="W4:X4"/>
    <mergeCell ref="Y4:Z4"/>
  </mergeCells>
  <hyperlinks>
    <hyperlink ref="A18" tooltip="Кликните по гиперссылке для добавления новой строки" display="Добавить строки"/>
    <hyperlink ref="AA17" tooltip="Нажмите для удаления текущей строки" display="Удалить"/>
  </hyperlinks>
  <printOptions/>
  <pageMargins left="0.15748031496062992" right="0" top="0" bottom="0.1968503937007874" header="0" footer="0"/>
  <pageSetup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_inf"/>
  <dimension ref="A1:N10"/>
  <sheetViews>
    <sheetView zoomScalePageLayoutView="0" workbookViewId="0" topLeftCell="A1">
      <selection activeCell="BO18" sqref="BO18"/>
    </sheetView>
  </sheetViews>
  <sheetFormatPr defaultColWidth="9.140625" defaultRowHeight="12.75"/>
  <cols>
    <col min="1" max="1" width="4.7109375" style="27" customWidth="1"/>
    <col min="2" max="2" width="33.140625" style="27" customWidth="1"/>
    <col min="3" max="4" width="14.00390625" style="27" customWidth="1"/>
    <col min="5" max="14" width="10.7109375" style="27" customWidth="1"/>
    <col min="15" max="16384" width="9.140625" style="27" customWidth="1"/>
  </cols>
  <sheetData>
    <row r="1" spans="1:7" ht="12.75">
      <c r="A1" s="355" t="str">
        <f>org</f>
        <v>Муниципальное предприятие по эксплуатации систем водоснабжения и водоотведения "Водоканал" г.Великие Луки</v>
      </c>
      <c r="B1" s="355"/>
      <c r="C1" s="355"/>
      <c r="D1" s="355"/>
      <c r="E1" s="355"/>
      <c r="F1" s="355"/>
      <c r="G1" s="355"/>
    </row>
    <row r="2" spans="1:6" ht="12.75">
      <c r="A2" s="839"/>
      <c r="B2" s="839"/>
      <c r="C2" s="839"/>
      <c r="D2" s="839"/>
      <c r="E2" s="839"/>
      <c r="F2" s="34"/>
    </row>
    <row r="3" spans="1:14" ht="56.25" customHeight="1" thickBot="1">
      <c r="A3" s="844" t="s">
        <v>266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</row>
    <row r="4" spans="1:14" ht="24.75" customHeight="1">
      <c r="A4" s="840" t="s">
        <v>5</v>
      </c>
      <c r="B4" s="818" t="s">
        <v>124</v>
      </c>
      <c r="C4" s="840" t="str">
        <f>Заголовок!A14&amp;" ("&amp;Заголовок!C14&amp;")"</f>
        <v>Фактические показатели базового периода регулирования  (2017)</v>
      </c>
      <c r="D4" s="817" t="str">
        <f>Заголовок!A15&amp;" ("&amp;Заголовок!C15&amp;")"</f>
        <v>Утверждённые показатели текущего периода регулирования  (2018)</v>
      </c>
      <c r="E4" s="836" t="s">
        <v>164</v>
      </c>
      <c r="F4" s="836"/>
      <c r="G4" s="836"/>
      <c r="H4" s="837"/>
      <c r="I4" s="837"/>
      <c r="J4" s="836" t="s">
        <v>2</v>
      </c>
      <c r="K4" s="837"/>
      <c r="L4" s="837"/>
      <c r="M4" s="837"/>
      <c r="N4" s="838"/>
    </row>
    <row r="5" spans="1:14" ht="38.25" customHeight="1" thickBot="1">
      <c r="A5" s="841"/>
      <c r="B5" s="842"/>
      <c r="C5" s="841"/>
      <c r="D5" s="843"/>
      <c r="E5" s="373" t="str">
        <f>year1</f>
        <v>2019</v>
      </c>
      <c r="F5" s="373">
        <f>year2</f>
        <v>2020</v>
      </c>
      <c r="G5" s="373">
        <f>year3</f>
        <v>2021</v>
      </c>
      <c r="H5" s="373">
        <f>year4</f>
        <v>2022</v>
      </c>
      <c r="I5" s="373">
        <f>year5</f>
        <v>2023</v>
      </c>
      <c r="J5" s="373" t="str">
        <f>year1</f>
        <v>2019</v>
      </c>
      <c r="K5" s="373">
        <f>year2</f>
        <v>2020</v>
      </c>
      <c r="L5" s="373">
        <f>year3</f>
        <v>2021</v>
      </c>
      <c r="M5" s="373">
        <f>year4</f>
        <v>2022</v>
      </c>
      <c r="N5" s="374">
        <f>year5</f>
        <v>2023</v>
      </c>
    </row>
    <row r="6" spans="1:14" ht="51" customHeight="1">
      <c r="A6" s="35">
        <v>1</v>
      </c>
      <c r="B6" s="82" t="s">
        <v>380</v>
      </c>
      <c r="C6" s="375">
        <v>30.2</v>
      </c>
      <c r="D6" s="376">
        <v>30.2</v>
      </c>
      <c r="E6" s="376">
        <v>30.2</v>
      </c>
      <c r="F6" s="376">
        <v>30.2</v>
      </c>
      <c r="G6" s="376">
        <v>30.2</v>
      </c>
      <c r="H6" s="376">
        <v>30.2</v>
      </c>
      <c r="I6" s="376">
        <v>30.2</v>
      </c>
      <c r="J6" s="376">
        <v>30.2</v>
      </c>
      <c r="K6" s="376">
        <v>30.2</v>
      </c>
      <c r="L6" s="376">
        <v>30.2</v>
      </c>
      <c r="M6" s="376">
        <v>30.2</v>
      </c>
      <c r="N6" s="380">
        <v>30.2</v>
      </c>
    </row>
    <row r="7" spans="1:14" ht="30" customHeight="1">
      <c r="A7" s="36">
        <v>3</v>
      </c>
      <c r="B7" s="83" t="s">
        <v>268</v>
      </c>
      <c r="C7" s="377">
        <v>20</v>
      </c>
      <c r="D7" s="378">
        <v>20</v>
      </c>
      <c r="E7" s="378">
        <v>20</v>
      </c>
      <c r="F7" s="378">
        <v>20</v>
      </c>
      <c r="G7" s="378">
        <v>20</v>
      </c>
      <c r="H7" s="378">
        <v>20</v>
      </c>
      <c r="I7" s="378">
        <v>20</v>
      </c>
      <c r="J7" s="378">
        <v>20</v>
      </c>
      <c r="K7" s="378">
        <v>20</v>
      </c>
      <c r="L7" s="378">
        <v>20</v>
      </c>
      <c r="M7" s="378">
        <v>20</v>
      </c>
      <c r="N7" s="381">
        <v>20</v>
      </c>
    </row>
    <row r="8" spans="1:14" ht="27.75" customHeight="1" thickBot="1">
      <c r="A8" s="37">
        <v>4</v>
      </c>
      <c r="B8" s="84" t="s">
        <v>267</v>
      </c>
      <c r="C8" s="379" t="s">
        <v>626</v>
      </c>
      <c r="D8" s="345" t="s">
        <v>626</v>
      </c>
      <c r="E8" s="345" t="s">
        <v>626</v>
      </c>
      <c r="F8" s="345" t="s">
        <v>626</v>
      </c>
      <c r="G8" s="345" t="s">
        <v>626</v>
      </c>
      <c r="H8" s="345" t="s">
        <v>626</v>
      </c>
      <c r="I8" s="345" t="s">
        <v>626</v>
      </c>
      <c r="J8" s="345" t="s">
        <v>626</v>
      </c>
      <c r="K8" s="345" t="s">
        <v>626</v>
      </c>
      <c r="L8" s="345" t="s">
        <v>626</v>
      </c>
      <c r="M8" s="345" t="s">
        <v>626</v>
      </c>
      <c r="N8" s="346" t="s">
        <v>626</v>
      </c>
    </row>
    <row r="9" spans="1:14" ht="12.75">
      <c r="A9" s="38"/>
      <c r="B9" s="29"/>
      <c r="C9" s="39" t="b">
        <f aca="true" t="shared" si="0" ref="C9:N9">C8="a"</f>
        <v>1</v>
      </c>
      <c r="D9" s="39" t="b">
        <f t="shared" si="0"/>
        <v>1</v>
      </c>
      <c r="E9" s="39" t="b">
        <f t="shared" si="0"/>
        <v>1</v>
      </c>
      <c r="F9" s="39" t="b">
        <f t="shared" si="0"/>
        <v>1</v>
      </c>
      <c r="G9" s="39" t="b">
        <f t="shared" si="0"/>
        <v>1</v>
      </c>
      <c r="H9" s="39" t="b">
        <f t="shared" si="0"/>
        <v>1</v>
      </c>
      <c r="I9" s="39" t="b">
        <f t="shared" si="0"/>
        <v>1</v>
      </c>
      <c r="J9" s="39" t="b">
        <f t="shared" si="0"/>
        <v>1</v>
      </c>
      <c r="K9" s="39" t="b">
        <f t="shared" si="0"/>
        <v>1</v>
      </c>
      <c r="L9" s="39" t="b">
        <f t="shared" si="0"/>
        <v>1</v>
      </c>
      <c r="M9" s="39" t="b">
        <f t="shared" si="0"/>
        <v>1</v>
      </c>
      <c r="N9" s="39" t="b">
        <f t="shared" si="0"/>
        <v>1</v>
      </c>
    </row>
    <row r="10" spans="2:3" ht="12.75">
      <c r="B10" s="24"/>
      <c r="C10" s="24"/>
    </row>
  </sheetData>
  <sheetProtection password="C8D1" sheet="1" scenarios="1" formatRows="0"/>
  <mergeCells count="8">
    <mergeCell ref="J4:N4"/>
    <mergeCell ref="A2:E2"/>
    <mergeCell ref="A4:A5"/>
    <mergeCell ref="B4:B5"/>
    <mergeCell ref="C4:C5"/>
    <mergeCell ref="D4:D5"/>
    <mergeCell ref="E4:I4"/>
    <mergeCell ref="A3:N3"/>
  </mergeCells>
  <printOptions/>
  <pageMargins left="0.7480314960629921" right="0" top="0.5905511811023623" bottom="0.984251968503937" header="0" footer="0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32"/>
  <dimension ref="A1:Z14"/>
  <sheetViews>
    <sheetView zoomScalePageLayoutView="0" workbookViewId="0" topLeftCell="A2">
      <pane xSplit="2" ySplit="3" topLeftCell="T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3" sqref="A3:Z14"/>
    </sheetView>
  </sheetViews>
  <sheetFormatPr defaultColWidth="9.140625" defaultRowHeight="12.75"/>
  <cols>
    <col min="1" max="1" width="7.00390625" style="27" customWidth="1"/>
    <col min="2" max="2" width="35.140625" style="27" customWidth="1"/>
    <col min="3" max="3" width="12.7109375" style="27" customWidth="1"/>
    <col min="4" max="4" width="11.7109375" style="27" customWidth="1"/>
    <col min="5" max="6" width="12.140625" style="27" customWidth="1"/>
    <col min="7" max="8" width="12.8515625" style="27" customWidth="1"/>
    <col min="9" max="9" width="13.00390625" style="27" customWidth="1"/>
    <col min="10" max="10" width="12.8515625" style="27" customWidth="1"/>
    <col min="11" max="11" width="13.28125" style="27" customWidth="1"/>
    <col min="12" max="12" width="12.7109375" style="27" customWidth="1"/>
    <col min="13" max="13" width="12.8515625" style="27" customWidth="1"/>
    <col min="14" max="14" width="13.8515625" style="27" customWidth="1"/>
    <col min="15" max="15" width="13.57421875" style="27" customWidth="1"/>
    <col min="16" max="16" width="13.8515625" style="27" customWidth="1"/>
    <col min="17" max="17" width="13.57421875" style="27" customWidth="1"/>
    <col min="18" max="19" width="13.8515625" style="27" customWidth="1"/>
    <col min="20" max="20" width="13.421875" style="27" customWidth="1"/>
    <col min="21" max="21" width="13.8515625" style="27" customWidth="1"/>
    <col min="22" max="22" width="13.7109375" style="27" customWidth="1"/>
    <col min="23" max="23" width="13.421875" style="27" customWidth="1"/>
    <col min="24" max="24" width="12.421875" style="27" customWidth="1"/>
    <col min="25" max="25" width="12.7109375" style="27" customWidth="1"/>
    <col min="26" max="26" width="13.7109375" style="27" customWidth="1"/>
    <col min="27" max="16384" width="9.140625" style="27" customWidth="1"/>
  </cols>
  <sheetData>
    <row r="1" spans="1:26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</row>
    <row r="2" spans="1:10" ht="12.75">
      <c r="A2" s="839"/>
      <c r="B2" s="839"/>
      <c r="C2" s="839"/>
      <c r="D2" s="839"/>
      <c r="E2" s="839"/>
      <c r="F2" s="839"/>
      <c r="G2" s="839"/>
      <c r="H2" s="839"/>
      <c r="I2" s="839"/>
      <c r="J2" s="34"/>
    </row>
    <row r="3" spans="1:23" ht="13.5" thickBot="1">
      <c r="A3" s="1097" t="s">
        <v>377</v>
      </c>
      <c r="B3" s="1097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</row>
    <row r="4" spans="1:26" ht="22.5" customHeight="1">
      <c r="A4" s="1122" t="s">
        <v>5</v>
      </c>
      <c r="B4" s="1026" t="s">
        <v>124</v>
      </c>
      <c r="C4" s="998">
        <f>factYear</f>
        <v>2017</v>
      </c>
      <c r="D4" s="999"/>
      <c r="E4" s="998">
        <f>currYear</f>
        <v>2018</v>
      </c>
      <c r="F4" s="999"/>
      <c r="G4" s="1071" t="str">
        <f>Заголовок!D17</f>
        <v>01.01.2019-30.06.2019</v>
      </c>
      <c r="H4" s="1064"/>
      <c r="I4" s="1063" t="str">
        <f>Заголовок!E17</f>
        <v>01.07.2019-31.12.2019</v>
      </c>
      <c r="J4" s="999"/>
      <c r="K4" s="1071" t="str">
        <f>Заголовок!D18</f>
        <v>01.01.2020-30.06.2020</v>
      </c>
      <c r="L4" s="1064"/>
      <c r="M4" s="1063" t="str">
        <f>Заголовок!E18</f>
        <v>01.07.2020-31.12.2020</v>
      </c>
      <c r="N4" s="999"/>
      <c r="O4" s="991" t="str">
        <f>Заголовок!D19</f>
        <v>01.01.2021-30.06.2021</v>
      </c>
      <c r="P4" s="1079"/>
      <c r="Q4" s="993" t="str">
        <f>Заголовок!E19</f>
        <v>01.07.2021-31.12.2021</v>
      </c>
      <c r="R4" s="994"/>
      <c r="S4" s="991" t="str">
        <f>Заголовок!D20</f>
        <v>01.01.2022-30.06.2022</v>
      </c>
      <c r="T4" s="992"/>
      <c r="U4" s="993" t="str">
        <f>Заголовок!E20</f>
        <v>01.07.2022-31.12.2022</v>
      </c>
      <c r="V4" s="994"/>
      <c r="W4" s="1071" t="str">
        <f>Заголовок!D21</f>
        <v>01.01.2023-30.06.2023</v>
      </c>
      <c r="X4" s="1064"/>
      <c r="Y4" s="1063" t="str">
        <f>Заголовок!E21</f>
        <v>01.07.2023-31.12.2023</v>
      </c>
      <c r="Z4" s="999"/>
    </row>
    <row r="5" spans="1:26" ht="38.25">
      <c r="A5" s="1122"/>
      <c r="B5" s="1026"/>
      <c r="C5" s="102" t="s">
        <v>190</v>
      </c>
      <c r="D5" s="96" t="s">
        <v>191</v>
      </c>
      <c r="E5" s="102" t="s">
        <v>190</v>
      </c>
      <c r="F5" s="96" t="s">
        <v>192</v>
      </c>
      <c r="G5" s="102" t="s">
        <v>1</v>
      </c>
      <c r="H5" s="40" t="s">
        <v>2</v>
      </c>
      <c r="I5" s="40" t="s">
        <v>1</v>
      </c>
      <c r="J5" s="96" t="s">
        <v>2</v>
      </c>
      <c r="K5" s="102" t="s">
        <v>1</v>
      </c>
      <c r="L5" s="40" t="s">
        <v>2</v>
      </c>
      <c r="M5" s="40" t="s">
        <v>1</v>
      </c>
      <c r="N5" s="96" t="s">
        <v>2</v>
      </c>
      <c r="O5" s="102" t="s">
        <v>1</v>
      </c>
      <c r="P5" s="40" t="s">
        <v>2</v>
      </c>
      <c r="Q5" s="40" t="s">
        <v>1</v>
      </c>
      <c r="R5" s="96" t="s">
        <v>2</v>
      </c>
      <c r="S5" s="102" t="s">
        <v>1</v>
      </c>
      <c r="T5" s="40" t="s">
        <v>2</v>
      </c>
      <c r="U5" s="40" t="s">
        <v>1</v>
      </c>
      <c r="V5" s="96" t="s">
        <v>2</v>
      </c>
      <c r="W5" s="102" t="s">
        <v>1</v>
      </c>
      <c r="X5" s="40" t="s">
        <v>2</v>
      </c>
      <c r="Y5" s="40" t="s">
        <v>1</v>
      </c>
      <c r="Z5" s="96" t="s">
        <v>2</v>
      </c>
    </row>
    <row r="6" spans="1:26" ht="28.5" customHeight="1">
      <c r="A6" s="30">
        <v>1</v>
      </c>
      <c r="B6" s="582" t="s">
        <v>278</v>
      </c>
      <c r="C6" s="327">
        <f>C7+C8+C9+C10+C11</f>
        <v>701.11</v>
      </c>
      <c r="D6" s="328">
        <f aca="true" t="shared" si="0" ref="D6:Z6">D7+D8+D9+D10+D11</f>
        <v>52.2</v>
      </c>
      <c r="E6" s="327">
        <f t="shared" si="0"/>
        <v>391.87</v>
      </c>
      <c r="F6" s="328">
        <f t="shared" si="0"/>
        <v>130.84</v>
      </c>
      <c r="G6" s="327">
        <f t="shared" si="0"/>
        <v>97.98</v>
      </c>
      <c r="H6" s="64">
        <f t="shared" si="0"/>
        <v>0</v>
      </c>
      <c r="I6" s="64">
        <f t="shared" si="0"/>
        <v>148.6</v>
      </c>
      <c r="J6" s="328">
        <f t="shared" si="0"/>
        <v>0</v>
      </c>
      <c r="K6" s="327">
        <f t="shared" si="0"/>
        <v>148.61</v>
      </c>
      <c r="L6" s="64">
        <f t="shared" si="0"/>
        <v>0</v>
      </c>
      <c r="M6" s="64">
        <f t="shared" si="0"/>
        <v>154.75</v>
      </c>
      <c r="N6" s="328">
        <f t="shared" si="0"/>
        <v>0</v>
      </c>
      <c r="O6" s="327">
        <f t="shared" si="0"/>
        <v>154.75</v>
      </c>
      <c r="P6" s="64">
        <f t="shared" si="0"/>
        <v>0</v>
      </c>
      <c r="Q6" s="64">
        <f t="shared" si="0"/>
        <v>160.1</v>
      </c>
      <c r="R6" s="328">
        <f t="shared" si="0"/>
        <v>0</v>
      </c>
      <c r="S6" s="327">
        <f t="shared" si="0"/>
        <v>160.08</v>
      </c>
      <c r="T6" s="64">
        <f t="shared" si="0"/>
        <v>0</v>
      </c>
      <c r="U6" s="64">
        <f t="shared" si="0"/>
        <v>165.84</v>
      </c>
      <c r="V6" s="328">
        <f t="shared" si="0"/>
        <v>0</v>
      </c>
      <c r="W6" s="327">
        <f t="shared" si="0"/>
        <v>165.84</v>
      </c>
      <c r="X6" s="64">
        <f t="shared" si="0"/>
        <v>0</v>
      </c>
      <c r="Y6" s="64">
        <f t="shared" si="0"/>
        <v>172.2</v>
      </c>
      <c r="Z6" s="328">
        <f t="shared" si="0"/>
        <v>0</v>
      </c>
    </row>
    <row r="7" spans="1:26" s="571" customFormat="1" ht="21.75" customHeight="1">
      <c r="A7" s="583" t="s">
        <v>12</v>
      </c>
      <c r="B7" s="584" t="s">
        <v>279</v>
      </c>
      <c r="C7" s="327">
        <f>'баз.уровень операц расх'!C6</f>
        <v>268.2</v>
      </c>
      <c r="D7" s="328">
        <f>'баз.уровень операц расх'!D6</f>
        <v>12.46</v>
      </c>
      <c r="E7" s="327">
        <f>'баз.уровень операц расх'!E6</f>
        <v>270.88</v>
      </c>
      <c r="F7" s="328">
        <f>'баз.уровень операц расх'!F6</f>
        <v>84.27</v>
      </c>
      <c r="G7" s="327">
        <f>'операц.расходы'!D11</f>
        <v>53.46</v>
      </c>
      <c r="H7" s="64">
        <f>'баз.уровень операц расх'!H6</f>
        <v>0</v>
      </c>
      <c r="I7" s="64">
        <f>'баз.уровень операц расх'!I6</f>
        <v>102.25</v>
      </c>
      <c r="J7" s="328">
        <f>'операц.расходы'!O11</f>
        <v>0</v>
      </c>
      <c r="K7" s="327">
        <f>'операц.расходы'!F11</f>
        <v>102.25</v>
      </c>
      <c r="L7" s="64">
        <f>'операц.расходы'!P11</f>
        <v>0</v>
      </c>
      <c r="M7" s="64">
        <f>'операц.расходы'!G11</f>
        <v>106.34</v>
      </c>
      <c r="N7" s="328">
        <f>'операц.расходы'!Q11</f>
        <v>0</v>
      </c>
      <c r="O7" s="327">
        <f>'операц.расходы'!H11</f>
        <v>106.34</v>
      </c>
      <c r="P7" s="64">
        <f>'операц.расходы'!Q11</f>
        <v>0</v>
      </c>
      <c r="Q7" s="64">
        <f>'операц.расходы'!I11</f>
        <v>110.59</v>
      </c>
      <c r="R7" s="328">
        <f>'операц.расходы'!S11</f>
        <v>0</v>
      </c>
      <c r="S7" s="327">
        <f>'операц.расходы'!J11</f>
        <v>110.59</v>
      </c>
      <c r="T7" s="64">
        <f>'операц.расходы'!T11</f>
        <v>0</v>
      </c>
      <c r="U7" s="64">
        <f>'операц.расходы'!K11</f>
        <v>115.01</v>
      </c>
      <c r="V7" s="328">
        <f>'операц.расходы'!U11</f>
        <v>0</v>
      </c>
      <c r="W7" s="327">
        <f>'операц.расходы'!L11</f>
        <v>115.01</v>
      </c>
      <c r="X7" s="64">
        <f>'операц.расходы'!V11</f>
        <v>0</v>
      </c>
      <c r="Y7" s="64">
        <f>'операц.расходы'!M11</f>
        <v>119.61</v>
      </c>
      <c r="Z7" s="328">
        <f>'операц.расходы'!W11</f>
        <v>0</v>
      </c>
    </row>
    <row r="8" spans="1:26" ht="27" customHeight="1">
      <c r="A8" s="461" t="s">
        <v>13</v>
      </c>
      <c r="B8" s="584" t="s">
        <v>280</v>
      </c>
      <c r="C8" s="327">
        <f>'Стоимость ЭЭ'!D28</f>
        <v>45.85</v>
      </c>
      <c r="D8" s="328">
        <f>'Стоимость ЭЭ'!E28</f>
        <v>5.03</v>
      </c>
      <c r="E8" s="327">
        <f>'Стоимость ЭЭ'!F28</f>
        <v>26.78</v>
      </c>
      <c r="F8" s="328">
        <f>'Стоимость ЭЭ'!G28</f>
        <v>7.26</v>
      </c>
      <c r="G8" s="327">
        <f>'Стоимость ЭЭ'!H28</f>
        <v>6.22</v>
      </c>
      <c r="H8" s="64">
        <f>'Стоимость ЭЭ'!I28</f>
        <v>0</v>
      </c>
      <c r="I8" s="64">
        <f>'Стоимость ЭЭ'!J28</f>
        <v>6.65</v>
      </c>
      <c r="J8" s="328">
        <f>'Стоимость ЭЭ'!K28</f>
        <v>0</v>
      </c>
      <c r="K8" s="327">
        <f>'Стоимость ЭЭ'!L28</f>
        <v>6.65</v>
      </c>
      <c r="L8" s="64">
        <f>'Стоимость ЭЭ'!M28</f>
        <v>0</v>
      </c>
      <c r="M8" s="64">
        <f>'Стоимость ЭЭ'!N28</f>
        <v>7.1</v>
      </c>
      <c r="N8" s="328">
        <f>'Стоимость ЭЭ'!O28</f>
        <v>0</v>
      </c>
      <c r="O8" s="327">
        <f>'Стоимость ЭЭ'!P28</f>
        <v>7.1</v>
      </c>
      <c r="P8" s="64">
        <f>'Стоимость ЭЭ'!Q28</f>
        <v>0</v>
      </c>
      <c r="Q8" s="64">
        <f>'Стоимость ЭЭ'!R28</f>
        <v>7.6</v>
      </c>
      <c r="R8" s="328">
        <f>'Стоимость ЭЭ'!S28</f>
        <v>0</v>
      </c>
      <c r="S8" s="327">
        <f>'Стоимость ЭЭ'!T28</f>
        <v>7.6</v>
      </c>
      <c r="T8" s="64">
        <f>'Стоимость ЭЭ'!U28</f>
        <v>0</v>
      </c>
      <c r="U8" s="64">
        <f>'Стоимость ЭЭ'!V28</f>
        <v>8.12</v>
      </c>
      <c r="V8" s="328">
        <f>'Стоимость ЭЭ'!W28</f>
        <v>0</v>
      </c>
      <c r="W8" s="327">
        <f>'Стоимость ЭЭ'!X28</f>
        <v>8.12</v>
      </c>
      <c r="X8" s="64">
        <f>'Стоимость ЭЭ'!Y28</f>
        <v>0</v>
      </c>
      <c r="Y8" s="64">
        <f>'Стоимость ЭЭ'!Z28</f>
        <v>8.68</v>
      </c>
      <c r="Z8" s="328">
        <f>'Стоимость ЭЭ'!AA28</f>
        <v>0</v>
      </c>
    </row>
    <row r="9" spans="1:26" ht="25.5" customHeight="1">
      <c r="A9" s="461" t="s">
        <v>14</v>
      </c>
      <c r="B9" s="582" t="s">
        <v>281</v>
      </c>
      <c r="C9" s="327">
        <f>неподконтрол!C6</f>
        <v>365.74</v>
      </c>
      <c r="D9" s="328">
        <f>неподконтрол!D6</f>
        <v>18.4</v>
      </c>
      <c r="E9" s="327">
        <f>неподконтрол!E6</f>
        <v>75.49</v>
      </c>
      <c r="F9" s="328">
        <f>неподконтрол!F6</f>
        <v>23</v>
      </c>
      <c r="G9" s="327">
        <f>неподконтрол!G6</f>
        <v>22</v>
      </c>
      <c r="H9" s="64">
        <f>неподконтрол!H6</f>
        <v>0</v>
      </c>
      <c r="I9" s="64">
        <f>неподконтрол!I6</f>
        <v>23.4</v>
      </c>
      <c r="J9" s="328">
        <f>неподконтрол!J6</f>
        <v>0</v>
      </c>
      <c r="K9" s="327">
        <f>неподконтрол!K6</f>
        <v>23.4</v>
      </c>
      <c r="L9" s="64">
        <f>неподконтрол!L6</f>
        <v>0</v>
      </c>
      <c r="M9" s="64">
        <f>неподконтрол!M6</f>
        <v>25</v>
      </c>
      <c r="N9" s="328">
        <f>неподконтрол!N6</f>
        <v>0</v>
      </c>
      <c r="O9" s="327">
        <f>неподконтрол!O6</f>
        <v>25</v>
      </c>
      <c r="P9" s="64">
        <f>неподконтрол!P6</f>
        <v>0</v>
      </c>
      <c r="Q9" s="64">
        <f>неподконтрол!Q6</f>
        <v>25.6</v>
      </c>
      <c r="R9" s="328">
        <f>неподконтрол!R6</f>
        <v>0</v>
      </c>
      <c r="S9" s="327">
        <f>неподконтрол!S6</f>
        <v>25.58</v>
      </c>
      <c r="T9" s="64">
        <f>неподконтрол!T6</f>
        <v>0</v>
      </c>
      <c r="U9" s="64">
        <f>неподконтрол!U6</f>
        <v>26.4</v>
      </c>
      <c r="V9" s="328">
        <f>неподконтрол!V6</f>
        <v>0</v>
      </c>
      <c r="W9" s="327">
        <f>неподконтрол!W6</f>
        <v>26.4</v>
      </c>
      <c r="X9" s="64">
        <f>неподконтрол!X6</f>
        <v>0</v>
      </c>
      <c r="Y9" s="64">
        <f>неподконтрол!Y6</f>
        <v>27.6</v>
      </c>
      <c r="Z9" s="328">
        <f>неподконтрол!Z6</f>
        <v>0</v>
      </c>
    </row>
    <row r="10" spans="1:26" ht="20.25" customHeight="1">
      <c r="A10" s="461" t="s">
        <v>20</v>
      </c>
      <c r="B10" s="584" t="s">
        <v>111</v>
      </c>
      <c r="C10" s="327">
        <f>амортизация!D12</f>
        <v>16.31</v>
      </c>
      <c r="D10" s="328">
        <f>амортизация!E12</f>
        <v>16.31</v>
      </c>
      <c r="E10" s="327">
        <f>амортизация!F12</f>
        <v>16.31</v>
      </c>
      <c r="F10" s="328">
        <f>амортизация!G12</f>
        <v>16.31</v>
      </c>
      <c r="G10" s="327">
        <f>амортизация!H12</f>
        <v>16.3</v>
      </c>
      <c r="H10" s="64">
        <f>амортизация!I12</f>
        <v>0</v>
      </c>
      <c r="I10" s="64">
        <f>амортизация!H12</f>
        <v>16.3</v>
      </c>
      <c r="J10" s="328">
        <f>амортизация!I12</f>
        <v>0</v>
      </c>
      <c r="K10" s="327">
        <f>амортизация!J12</f>
        <v>16.31</v>
      </c>
      <c r="L10" s="64">
        <f>амортизация!K12</f>
        <v>0</v>
      </c>
      <c r="M10" s="64">
        <f>K10</f>
        <v>16.31</v>
      </c>
      <c r="N10" s="328">
        <f>L10</f>
        <v>0</v>
      </c>
      <c r="O10" s="327">
        <f>амортизация!L12</f>
        <v>16.31</v>
      </c>
      <c r="P10" s="64">
        <f>амортизация!M12</f>
        <v>0</v>
      </c>
      <c r="Q10" s="64">
        <f>O10</f>
        <v>16.31</v>
      </c>
      <c r="R10" s="328">
        <f>P10</f>
        <v>0</v>
      </c>
      <c r="S10" s="327">
        <f>амортизация!N12</f>
        <v>16.31</v>
      </c>
      <c r="T10" s="64">
        <f>амортизация!O12</f>
        <v>0</v>
      </c>
      <c r="U10" s="64">
        <f>S10</f>
        <v>16.31</v>
      </c>
      <c r="V10" s="328">
        <f>T10</f>
        <v>0</v>
      </c>
      <c r="W10" s="327">
        <f>амортизация!P12</f>
        <v>16.31</v>
      </c>
      <c r="X10" s="64">
        <f>амортизация!Q12</f>
        <v>0</v>
      </c>
      <c r="Y10" s="64">
        <f>амортизация!P12</f>
        <v>16.31</v>
      </c>
      <c r="Z10" s="328">
        <f>амортизация!Q12</f>
        <v>0</v>
      </c>
    </row>
    <row r="11" spans="1:26" ht="21.75" customHeight="1">
      <c r="A11" s="461" t="s">
        <v>22</v>
      </c>
      <c r="B11" s="584" t="s">
        <v>282</v>
      </c>
      <c r="C11" s="327">
        <f>прибыль!C6</f>
        <v>5.01</v>
      </c>
      <c r="D11" s="328">
        <f>прибыль!D6</f>
        <v>0</v>
      </c>
      <c r="E11" s="327">
        <f>прибыль!E6</f>
        <v>2.41</v>
      </c>
      <c r="F11" s="328">
        <f>прибыль!F6</f>
        <v>0</v>
      </c>
      <c r="G11" s="327">
        <f>прибыль!G6</f>
        <v>0</v>
      </c>
      <c r="H11" s="64">
        <f>прибыль!H6</f>
        <v>0</v>
      </c>
      <c r="I11" s="64">
        <f>прибыль!I6</f>
        <v>0</v>
      </c>
      <c r="J11" s="328">
        <f>прибыль!J6</f>
        <v>0</v>
      </c>
      <c r="K11" s="327">
        <f>прибыль!K6</f>
        <v>0</v>
      </c>
      <c r="L11" s="64">
        <f>прибыль!L6</f>
        <v>0</v>
      </c>
      <c r="M11" s="64">
        <f>прибыль!M6</f>
        <v>0</v>
      </c>
      <c r="N11" s="328">
        <f>прибыль!N6</f>
        <v>0</v>
      </c>
      <c r="O11" s="327">
        <f>прибыль!O6</f>
        <v>0</v>
      </c>
      <c r="P11" s="64">
        <f>прибыль!P6</f>
        <v>0</v>
      </c>
      <c r="Q11" s="64">
        <f>прибыль!Q6</f>
        <v>0</v>
      </c>
      <c r="R11" s="328">
        <f>прибыль!R6</f>
        <v>0</v>
      </c>
      <c r="S11" s="327">
        <f>прибыль!S6</f>
        <v>0</v>
      </c>
      <c r="T11" s="64">
        <f>прибыль!T6</f>
        <v>0</v>
      </c>
      <c r="U11" s="64">
        <f>прибыль!U6</f>
        <v>0</v>
      </c>
      <c r="V11" s="328">
        <f>прибыль!V6</f>
        <v>0</v>
      </c>
      <c r="W11" s="327">
        <f>прибыль!W6</f>
        <v>0</v>
      </c>
      <c r="X11" s="64">
        <f>прибыль!X6</f>
        <v>0</v>
      </c>
      <c r="Y11" s="64">
        <f>прибыль!Y6</f>
        <v>0</v>
      </c>
      <c r="Z11" s="328">
        <f>прибыль!Z6</f>
        <v>0</v>
      </c>
    </row>
    <row r="12" spans="1:26" ht="27.75" customHeight="1">
      <c r="A12" s="461" t="s">
        <v>26</v>
      </c>
      <c r="B12" s="582" t="s">
        <v>424</v>
      </c>
      <c r="C12" s="327">
        <f>прибыль!C17</f>
        <v>0.72</v>
      </c>
      <c r="D12" s="328">
        <f>прибыль!D17</f>
        <v>0</v>
      </c>
      <c r="E12" s="327">
        <f>прибыль!E17</f>
        <v>0.62</v>
      </c>
      <c r="F12" s="328">
        <f>прибыль!F17</f>
        <v>0</v>
      </c>
      <c r="G12" s="327">
        <f>прибыль!G17</f>
        <v>0</v>
      </c>
      <c r="H12" s="64">
        <f>прибыль!H17</f>
        <v>0</v>
      </c>
      <c r="I12" s="64">
        <f>прибыль!I17</f>
        <v>0</v>
      </c>
      <c r="J12" s="328">
        <f>прибыль!J17</f>
        <v>0</v>
      </c>
      <c r="K12" s="327">
        <f>прибыль!K17</f>
        <v>0</v>
      </c>
      <c r="L12" s="64">
        <f>прибыль!L17</f>
        <v>0</v>
      </c>
      <c r="M12" s="64">
        <f>прибыль!M17</f>
        <v>0</v>
      </c>
      <c r="N12" s="328">
        <f>прибыль!N17</f>
        <v>0</v>
      </c>
      <c r="O12" s="327">
        <f>прибыль!O17</f>
        <v>0</v>
      </c>
      <c r="P12" s="64">
        <f>прибыль!P17</f>
        <v>0</v>
      </c>
      <c r="Q12" s="64">
        <f>прибыль!Q17</f>
        <v>0</v>
      </c>
      <c r="R12" s="328">
        <f>прибыль!R17</f>
        <v>0</v>
      </c>
      <c r="S12" s="327">
        <f>прибыль!S17</f>
        <v>0</v>
      </c>
      <c r="T12" s="64">
        <f>прибыль!T17</f>
        <v>0</v>
      </c>
      <c r="U12" s="64">
        <f>прибыль!U17</f>
        <v>0</v>
      </c>
      <c r="V12" s="328">
        <f>прибыль!V17</f>
        <v>0</v>
      </c>
      <c r="W12" s="327">
        <f>прибыль!W17</f>
        <v>0</v>
      </c>
      <c r="X12" s="64">
        <f>прибыль!X17</f>
        <v>0</v>
      </c>
      <c r="Y12" s="64">
        <f>прибыль!Y17</f>
        <v>0</v>
      </c>
      <c r="Z12" s="328">
        <f>прибыль!Z17</f>
        <v>0</v>
      </c>
    </row>
    <row r="13" spans="1:26" ht="18" customHeight="1">
      <c r="A13" s="461">
        <v>2</v>
      </c>
      <c r="B13" s="584" t="s">
        <v>264</v>
      </c>
      <c r="C13" s="327">
        <f>'Баланс ВС'!C15</f>
        <v>50</v>
      </c>
      <c r="D13" s="328">
        <f>'Баланс ВС'!D15</f>
        <v>15.7</v>
      </c>
      <c r="E13" s="327">
        <f>'Баланс ВС'!E15</f>
        <v>24</v>
      </c>
      <c r="F13" s="328">
        <f>'Баланс ВС'!F15</f>
        <v>7</v>
      </c>
      <c r="G13" s="327">
        <f>'Баланс ВС'!G15</f>
        <v>6</v>
      </c>
      <c r="H13" s="64">
        <f>'Баланс ВС'!H15</f>
        <v>0</v>
      </c>
      <c r="I13" s="64">
        <f>G13</f>
        <v>6</v>
      </c>
      <c r="J13" s="328">
        <f>H13</f>
        <v>0</v>
      </c>
      <c r="K13" s="327">
        <f>'Баланс ВС'!I15</f>
        <v>6</v>
      </c>
      <c r="L13" s="64">
        <f>'Баланс ВС'!J15</f>
        <v>0</v>
      </c>
      <c r="M13" s="64">
        <f>K13</f>
        <v>6</v>
      </c>
      <c r="N13" s="328">
        <f>L13</f>
        <v>0</v>
      </c>
      <c r="O13" s="327">
        <f>'Баланс ВС'!K15</f>
        <v>6</v>
      </c>
      <c r="P13" s="327">
        <f>'Баланс ВС'!L15</f>
        <v>0</v>
      </c>
      <c r="Q13" s="64">
        <f>O13</f>
        <v>6</v>
      </c>
      <c r="R13" s="328">
        <f>P13</f>
        <v>0</v>
      </c>
      <c r="S13" s="327">
        <f>'Баланс ВС'!M15</f>
        <v>6</v>
      </c>
      <c r="T13" s="327">
        <f>'Баланс ВС'!N15</f>
        <v>0</v>
      </c>
      <c r="U13" s="64">
        <f>S13</f>
        <v>6</v>
      </c>
      <c r="V13" s="328">
        <f>T13</f>
        <v>0</v>
      </c>
      <c r="W13" s="327">
        <f>'Баланс ВС'!O15</f>
        <v>6</v>
      </c>
      <c r="X13" s="585">
        <f>'Баланс ВС'!P15</f>
        <v>0</v>
      </c>
      <c r="Y13" s="64">
        <f>W13</f>
        <v>6</v>
      </c>
      <c r="Z13" s="328">
        <f>X13</f>
        <v>0</v>
      </c>
    </row>
    <row r="14" spans="1:26" ht="17.25" customHeight="1" thickBot="1">
      <c r="A14" s="461">
        <v>3</v>
      </c>
      <c r="B14" s="584" t="s">
        <v>265</v>
      </c>
      <c r="C14" s="586">
        <f aca="true" t="shared" si="1" ref="C14:Z14">IF(C13=0,0,C6/C13)</f>
        <v>14.02</v>
      </c>
      <c r="D14" s="587">
        <f t="shared" si="1"/>
        <v>3.32</v>
      </c>
      <c r="E14" s="586">
        <f t="shared" si="1"/>
        <v>16.33</v>
      </c>
      <c r="F14" s="587">
        <f t="shared" si="1"/>
        <v>18.69</v>
      </c>
      <c r="G14" s="586">
        <f t="shared" si="1"/>
        <v>16.33</v>
      </c>
      <c r="H14" s="555">
        <f t="shared" si="1"/>
        <v>0</v>
      </c>
      <c r="I14" s="555">
        <f t="shared" si="1"/>
        <v>24.77</v>
      </c>
      <c r="J14" s="587">
        <f t="shared" si="1"/>
        <v>0</v>
      </c>
      <c r="K14" s="586">
        <f t="shared" si="1"/>
        <v>24.77</v>
      </c>
      <c r="L14" s="555">
        <f t="shared" si="1"/>
        <v>0</v>
      </c>
      <c r="M14" s="555">
        <f t="shared" si="1"/>
        <v>25.79</v>
      </c>
      <c r="N14" s="587">
        <f t="shared" si="1"/>
        <v>0</v>
      </c>
      <c r="O14" s="586">
        <f t="shared" si="1"/>
        <v>25.79</v>
      </c>
      <c r="P14" s="555">
        <f t="shared" si="1"/>
        <v>0</v>
      </c>
      <c r="Q14" s="555">
        <f t="shared" si="1"/>
        <v>26.68</v>
      </c>
      <c r="R14" s="587">
        <f t="shared" si="1"/>
        <v>0</v>
      </c>
      <c r="S14" s="586">
        <f t="shared" si="1"/>
        <v>26.68</v>
      </c>
      <c r="T14" s="555">
        <f t="shared" si="1"/>
        <v>0</v>
      </c>
      <c r="U14" s="555">
        <f t="shared" si="1"/>
        <v>27.64</v>
      </c>
      <c r="V14" s="587">
        <f t="shared" si="1"/>
        <v>0</v>
      </c>
      <c r="W14" s="586">
        <f t="shared" si="1"/>
        <v>27.64</v>
      </c>
      <c r="X14" s="555">
        <f t="shared" si="1"/>
        <v>0</v>
      </c>
      <c r="Y14" s="555">
        <f t="shared" si="1"/>
        <v>28.7</v>
      </c>
      <c r="Z14" s="587">
        <f t="shared" si="1"/>
        <v>0</v>
      </c>
    </row>
  </sheetData>
  <sheetProtection password="C8D1" sheet="1" scenarios="1" formatRows="0"/>
  <mergeCells count="17">
    <mergeCell ref="G4:H4"/>
    <mergeCell ref="I4:J4"/>
    <mergeCell ref="A3:W3"/>
    <mergeCell ref="K4:L4"/>
    <mergeCell ref="M4:N4"/>
    <mergeCell ref="W4:X4"/>
    <mergeCell ref="U4:V4"/>
    <mergeCell ref="A1:Z1"/>
    <mergeCell ref="Y4:Z4"/>
    <mergeCell ref="A2:I2"/>
    <mergeCell ref="A4:A5"/>
    <mergeCell ref="B4:B5"/>
    <mergeCell ref="C4:D4"/>
    <mergeCell ref="E4:F4"/>
    <mergeCell ref="O4:P4"/>
    <mergeCell ref="Q4:R4"/>
    <mergeCell ref="S4:T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33"/>
  <dimension ref="A1:AB16"/>
  <sheetViews>
    <sheetView zoomScale="90" zoomScaleNormal="90" zoomScalePageLayoutView="0" workbookViewId="0" topLeftCell="A1">
      <pane xSplit="4" ySplit="7" topLeftCell="V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5.57421875" style="27" customWidth="1"/>
    <col min="2" max="2" width="9.140625" style="27" customWidth="1"/>
    <col min="3" max="3" width="21.57421875" style="27" customWidth="1"/>
    <col min="4" max="4" width="12.28125" style="27" customWidth="1"/>
    <col min="5" max="28" width="14.00390625" style="27" customWidth="1"/>
    <col min="29" max="16384" width="9.140625" style="27" customWidth="1"/>
  </cols>
  <sheetData>
    <row r="1" spans="1:28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</row>
    <row r="2" ht="21" customHeight="1">
      <c r="B2" s="589" t="s">
        <v>349</v>
      </c>
    </row>
    <row r="3" ht="21" customHeight="1">
      <c r="B3" s="589" t="s">
        <v>347</v>
      </c>
    </row>
    <row r="4" ht="21" customHeight="1">
      <c r="B4" s="589" t="s">
        <v>350</v>
      </c>
    </row>
    <row r="5" ht="29.25" customHeight="1" thickBot="1"/>
    <row r="6" spans="1:28" ht="38.25" customHeight="1">
      <c r="A6" s="1155" t="s">
        <v>354</v>
      </c>
      <c r="B6" s="1159" t="s">
        <v>348</v>
      </c>
      <c r="C6" s="1160"/>
      <c r="D6" s="1042" t="s">
        <v>7</v>
      </c>
      <c r="E6" s="998">
        <f>factYear</f>
        <v>2017</v>
      </c>
      <c r="F6" s="999"/>
      <c r="G6" s="998">
        <f>currYear</f>
        <v>2018</v>
      </c>
      <c r="H6" s="999"/>
      <c r="I6" s="1071" t="str">
        <f>Заголовок!D17</f>
        <v>01.01.2019-30.06.2019</v>
      </c>
      <c r="J6" s="1064"/>
      <c r="K6" s="1063" t="str">
        <f>Заголовок!E17</f>
        <v>01.07.2019-31.12.2019</v>
      </c>
      <c r="L6" s="999"/>
      <c r="M6" s="1071" t="str">
        <f>Заголовок!D18</f>
        <v>01.01.2020-30.06.2020</v>
      </c>
      <c r="N6" s="1064"/>
      <c r="O6" s="1063" t="str">
        <f>Заголовок!E18</f>
        <v>01.07.2020-31.12.2020</v>
      </c>
      <c r="P6" s="999"/>
      <c r="Q6" s="991" t="str">
        <f>Заголовок!D19</f>
        <v>01.01.2021-30.06.2021</v>
      </c>
      <c r="R6" s="992"/>
      <c r="S6" s="993" t="str">
        <f>Заголовок!E19</f>
        <v>01.07.2021-31.12.2021</v>
      </c>
      <c r="T6" s="994"/>
      <c r="U6" s="991" t="str">
        <f>Заголовок!D20</f>
        <v>01.01.2022-30.06.2022</v>
      </c>
      <c r="V6" s="992"/>
      <c r="W6" s="993" t="str">
        <f>Заголовок!E20</f>
        <v>01.07.2022-31.12.2022</v>
      </c>
      <c r="X6" s="994"/>
      <c r="Y6" s="1071" t="str">
        <f>Заголовок!D21</f>
        <v>01.01.2023-30.06.2023</v>
      </c>
      <c r="Z6" s="1064"/>
      <c r="AA6" s="1063" t="str">
        <f>Заголовок!E21</f>
        <v>01.07.2023-31.12.2023</v>
      </c>
      <c r="AB6" s="999"/>
    </row>
    <row r="7" spans="1:28" ht="35.25" customHeight="1">
      <c r="A7" s="1156"/>
      <c r="B7" s="1161"/>
      <c r="C7" s="1162"/>
      <c r="D7" s="1044"/>
      <c r="E7" s="102" t="s">
        <v>161</v>
      </c>
      <c r="F7" s="96" t="s">
        <v>162</v>
      </c>
      <c r="G7" s="102" t="s">
        <v>161</v>
      </c>
      <c r="H7" s="90" t="s">
        <v>310</v>
      </c>
      <c r="I7" s="102" t="s">
        <v>1</v>
      </c>
      <c r="J7" s="40" t="s">
        <v>2</v>
      </c>
      <c r="K7" s="40" t="s">
        <v>1</v>
      </c>
      <c r="L7" s="96" t="s">
        <v>2</v>
      </c>
      <c r="M7" s="102" t="s">
        <v>1</v>
      </c>
      <c r="N7" s="40" t="s">
        <v>2</v>
      </c>
      <c r="O7" s="40" t="s">
        <v>1</v>
      </c>
      <c r="P7" s="96" t="s">
        <v>2</v>
      </c>
      <c r="Q7" s="102" t="s">
        <v>1</v>
      </c>
      <c r="R7" s="40" t="s">
        <v>2</v>
      </c>
      <c r="S7" s="40" t="s">
        <v>1</v>
      </c>
      <c r="T7" s="96" t="s">
        <v>2</v>
      </c>
      <c r="U7" s="102" t="s">
        <v>1</v>
      </c>
      <c r="V7" s="40" t="s">
        <v>2</v>
      </c>
      <c r="W7" s="40" t="s">
        <v>1</v>
      </c>
      <c r="X7" s="96" t="s">
        <v>2</v>
      </c>
      <c r="Y7" s="102" t="s">
        <v>1</v>
      </c>
      <c r="Z7" s="40" t="s">
        <v>2</v>
      </c>
      <c r="AA7" s="40" t="s">
        <v>1</v>
      </c>
      <c r="AB7" s="96" t="s">
        <v>2</v>
      </c>
    </row>
    <row r="8" spans="1:28" ht="46.5" customHeight="1">
      <c r="A8" s="591">
        <v>1</v>
      </c>
      <c r="B8" s="1145" t="s">
        <v>351</v>
      </c>
      <c r="C8" s="1146"/>
      <c r="D8" s="464" t="s">
        <v>109</v>
      </c>
      <c r="E8" s="744">
        <f>'баз.уровень операц расх'!C6</f>
        <v>268.2</v>
      </c>
      <c r="F8" s="717">
        <f>'баз.уровень операц расх'!D6</f>
        <v>12.46</v>
      </c>
      <c r="G8" s="505">
        <f>'баз.уровень операц расх'!E6</f>
        <v>270.88</v>
      </c>
      <c r="H8" s="506">
        <f>'баз.уровень операц расх'!F6</f>
        <v>84.27</v>
      </c>
      <c r="I8" s="505">
        <f>'баз.уровень операц расх'!G6</f>
        <v>53.46</v>
      </c>
      <c r="J8" s="554">
        <f>'баз.уровень операц расх'!H6</f>
        <v>0</v>
      </c>
      <c r="K8" s="554">
        <f>'баз.уровень операц расх'!I6</f>
        <v>102.25</v>
      </c>
      <c r="L8" s="506">
        <f>'баз.уровень операц расх'!J6</f>
        <v>0</v>
      </c>
      <c r="M8" s="1151"/>
      <c r="N8" s="1152"/>
      <c r="O8" s="1152"/>
      <c r="P8" s="1152"/>
      <c r="Q8" s="1153"/>
      <c r="R8" s="1153"/>
      <c r="S8" s="1153"/>
      <c r="T8" s="1153"/>
      <c r="U8" s="1153"/>
      <c r="V8" s="1153"/>
      <c r="W8" s="1153"/>
      <c r="X8" s="1153"/>
      <c r="Y8" s="1153"/>
      <c r="Z8" s="1153"/>
      <c r="AA8" s="1153"/>
      <c r="AB8" s="1154"/>
    </row>
    <row r="9" spans="1:28" ht="48.75" customHeight="1">
      <c r="A9" s="591">
        <v>2</v>
      </c>
      <c r="B9" s="1145" t="s">
        <v>352</v>
      </c>
      <c r="C9" s="1146"/>
      <c r="D9" s="464" t="s">
        <v>206</v>
      </c>
      <c r="E9" s="744">
        <v>1</v>
      </c>
      <c r="F9" s="717">
        <v>1</v>
      </c>
      <c r="G9" s="505">
        <v>1</v>
      </c>
      <c r="H9" s="506">
        <v>1</v>
      </c>
      <c r="I9" s="505">
        <v>0</v>
      </c>
      <c r="J9" s="554">
        <v>0</v>
      </c>
      <c r="K9" s="554">
        <v>1</v>
      </c>
      <c r="L9" s="506">
        <v>1</v>
      </c>
      <c r="M9" s="505">
        <v>0</v>
      </c>
      <c r="N9" s="507">
        <v>0</v>
      </c>
      <c r="O9" s="554">
        <v>1</v>
      </c>
      <c r="P9" s="506">
        <v>1</v>
      </c>
      <c r="Q9" s="505">
        <v>0</v>
      </c>
      <c r="R9" s="554">
        <v>0</v>
      </c>
      <c r="S9" s="554">
        <v>1</v>
      </c>
      <c r="T9" s="506">
        <v>1</v>
      </c>
      <c r="U9" s="505">
        <v>0</v>
      </c>
      <c r="V9" s="554">
        <v>0</v>
      </c>
      <c r="W9" s="554">
        <v>1</v>
      </c>
      <c r="X9" s="506">
        <v>1</v>
      </c>
      <c r="Y9" s="505">
        <v>0</v>
      </c>
      <c r="Z9" s="554">
        <v>0</v>
      </c>
      <c r="AA9" s="554">
        <v>1</v>
      </c>
      <c r="AB9" s="506">
        <v>1</v>
      </c>
    </row>
    <row r="10" spans="1:28" ht="31.5" customHeight="1">
      <c r="A10" s="591">
        <v>3</v>
      </c>
      <c r="B10" s="1145" t="s">
        <v>353</v>
      </c>
      <c r="C10" s="1146"/>
      <c r="D10" s="464" t="s">
        <v>206</v>
      </c>
      <c r="E10" s="744">
        <f>прибыль!C17</f>
        <v>0.72</v>
      </c>
      <c r="F10" s="717">
        <f>прибыль!D17</f>
        <v>0</v>
      </c>
      <c r="G10" s="505">
        <f>прибыль!E17</f>
        <v>0.62</v>
      </c>
      <c r="H10" s="506">
        <f>прибыль!F17</f>
        <v>0</v>
      </c>
      <c r="I10" s="505">
        <f>прибыль!G17</f>
        <v>0</v>
      </c>
      <c r="J10" s="554">
        <f>прибыль!H17</f>
        <v>0</v>
      </c>
      <c r="K10" s="554">
        <f>прибыль!I17</f>
        <v>0</v>
      </c>
      <c r="L10" s="506">
        <f>прибыль!J17</f>
        <v>0</v>
      </c>
      <c r="M10" s="505">
        <f>прибыль!K17</f>
        <v>0</v>
      </c>
      <c r="N10" s="554">
        <f>прибыль!L17</f>
        <v>0</v>
      </c>
      <c r="O10" s="554">
        <f>прибыль!M17</f>
        <v>0</v>
      </c>
      <c r="P10" s="506">
        <f>прибыль!N17</f>
        <v>0</v>
      </c>
      <c r="Q10" s="505">
        <f>прибыль!O17</f>
        <v>0</v>
      </c>
      <c r="R10" s="554">
        <f>прибыль!P17</f>
        <v>0</v>
      </c>
      <c r="S10" s="554">
        <f>прибыль!Q17</f>
        <v>0</v>
      </c>
      <c r="T10" s="506">
        <f>прибыль!R17</f>
        <v>0</v>
      </c>
      <c r="U10" s="505">
        <f>прибыль!S17</f>
        <v>0</v>
      </c>
      <c r="V10" s="554">
        <f>прибыль!T17</f>
        <v>0</v>
      </c>
      <c r="W10" s="554">
        <f>прибыль!U17</f>
        <v>0</v>
      </c>
      <c r="X10" s="506">
        <f>прибыль!V17</f>
        <v>0</v>
      </c>
      <c r="Y10" s="505">
        <f>прибыль!W17</f>
        <v>0</v>
      </c>
      <c r="Z10" s="554">
        <f>прибыль!X17</f>
        <v>0</v>
      </c>
      <c r="AA10" s="554">
        <f>прибыль!Y17</f>
        <v>0</v>
      </c>
      <c r="AB10" s="506">
        <f>прибыль!Z17</f>
        <v>0</v>
      </c>
    </row>
    <row r="11" spans="1:28" ht="44.25" customHeight="1">
      <c r="A11" s="591">
        <v>4</v>
      </c>
      <c r="B11" s="1145" t="s">
        <v>355</v>
      </c>
      <c r="C11" s="1146"/>
      <c r="D11" s="165"/>
      <c r="E11" s="1147"/>
      <c r="F11" s="1148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50"/>
    </row>
    <row r="12" spans="1:28" ht="30" customHeight="1">
      <c r="A12" s="591" t="s">
        <v>80</v>
      </c>
      <c r="B12" s="1145" t="s">
        <v>597</v>
      </c>
      <c r="C12" s="1146"/>
      <c r="D12" s="464" t="s">
        <v>206</v>
      </c>
      <c r="E12" s="744">
        <f>Потери!E13</f>
        <v>6</v>
      </c>
      <c r="F12" s="717">
        <f>Потери!F13</f>
        <v>0</v>
      </c>
      <c r="G12" s="507">
        <f>Потери!G13</f>
        <v>6</v>
      </c>
      <c r="H12" s="506">
        <f>Потери!H13</f>
        <v>0</v>
      </c>
      <c r="I12" s="505">
        <f>Потери!I13</f>
        <v>0</v>
      </c>
      <c r="J12" s="554">
        <f>Потери!J13</f>
        <v>0</v>
      </c>
      <c r="K12" s="554">
        <f>I12</f>
        <v>0</v>
      </c>
      <c r="L12" s="506">
        <f>J12</f>
        <v>0</v>
      </c>
      <c r="M12" s="505">
        <f>Потери!K13</f>
        <v>0</v>
      </c>
      <c r="N12" s="554">
        <f>Потери!L13</f>
        <v>0</v>
      </c>
      <c r="O12" s="554">
        <f>M12</f>
        <v>0</v>
      </c>
      <c r="P12" s="506">
        <f>N12</f>
        <v>0</v>
      </c>
      <c r="Q12" s="505">
        <f>Потери!M13</f>
        <v>0</v>
      </c>
      <c r="R12" s="554">
        <f>Потери!N13</f>
        <v>0</v>
      </c>
      <c r="S12" s="554">
        <f>Q12</f>
        <v>0</v>
      </c>
      <c r="T12" s="506">
        <f>R12</f>
        <v>0</v>
      </c>
      <c r="U12" s="505">
        <f>Потери!O13</f>
        <v>0</v>
      </c>
      <c r="V12" s="554">
        <f>Потери!P13</f>
        <v>0</v>
      </c>
      <c r="W12" s="554">
        <f>U12</f>
        <v>0</v>
      </c>
      <c r="X12" s="506">
        <f>V12</f>
        <v>0</v>
      </c>
      <c r="Y12" s="505">
        <f>Потери!Q13</f>
        <v>0</v>
      </c>
      <c r="Z12" s="554">
        <f>Потери!R13</f>
        <v>0</v>
      </c>
      <c r="AA12" s="554">
        <f>Y12</f>
        <v>0</v>
      </c>
      <c r="AB12" s="506">
        <f>Z12</f>
        <v>0</v>
      </c>
    </row>
    <row r="13" spans="1:28" ht="28.5" customHeight="1" thickBot="1">
      <c r="A13" s="592" t="s">
        <v>81</v>
      </c>
      <c r="B13" s="1157" t="s">
        <v>356</v>
      </c>
      <c r="C13" s="1158"/>
      <c r="D13" s="590" t="s">
        <v>357</v>
      </c>
      <c r="E13" s="745">
        <f>'Уд расх.ЭЭ'!D12</f>
        <v>0.207</v>
      </c>
      <c r="F13" s="746">
        <f>'Уд расх.ЭЭ'!E12</f>
        <v>0.219</v>
      </c>
      <c r="G13" s="747">
        <f>'Уд расх.ЭЭ'!F12</f>
        <v>0.207</v>
      </c>
      <c r="H13" s="748">
        <f>'Уд расх.ЭЭ'!G12</f>
        <v>0.223</v>
      </c>
      <c r="I13" s="749">
        <f>'Уд расх.ЭЭ'!H12</f>
        <v>0.223</v>
      </c>
      <c r="J13" s="750">
        <f>'Уд расх.ЭЭ'!I12</f>
        <v>0</v>
      </c>
      <c r="K13" s="750">
        <f>I13</f>
        <v>0.223</v>
      </c>
      <c r="L13" s="748">
        <f>J13</f>
        <v>0</v>
      </c>
      <c r="M13" s="749">
        <f>'Уд расх.ЭЭ'!J12</f>
        <v>0.223</v>
      </c>
      <c r="N13" s="750">
        <f>'Уд расх.ЭЭ'!K12</f>
        <v>0</v>
      </c>
      <c r="O13" s="750">
        <f>M13</f>
        <v>0.223</v>
      </c>
      <c r="P13" s="748">
        <f>N13</f>
        <v>0</v>
      </c>
      <c r="Q13" s="749">
        <f>'Уд расх.ЭЭ'!L12</f>
        <v>0.223</v>
      </c>
      <c r="R13" s="750">
        <f>'Уд расх.ЭЭ'!M12</f>
        <v>0</v>
      </c>
      <c r="S13" s="750">
        <f>Q13</f>
        <v>0.223</v>
      </c>
      <c r="T13" s="748">
        <f>R13</f>
        <v>0</v>
      </c>
      <c r="U13" s="749">
        <f>'Уд расх.ЭЭ'!N12</f>
        <v>0.223</v>
      </c>
      <c r="V13" s="750">
        <f>'Уд расх.ЭЭ'!O12</f>
        <v>0</v>
      </c>
      <c r="W13" s="750">
        <f>U13</f>
        <v>0.223</v>
      </c>
      <c r="X13" s="748">
        <f>V13</f>
        <v>0</v>
      </c>
      <c r="Y13" s="749">
        <f>'Уд расх.ЭЭ'!P12</f>
        <v>0.223</v>
      </c>
      <c r="Z13" s="750">
        <f>'Уд расх.ЭЭ'!Q12</f>
        <v>0</v>
      </c>
      <c r="AA13" s="750">
        <f>Y13</f>
        <v>0.223</v>
      </c>
      <c r="AB13" s="748">
        <f>Z13</f>
        <v>0</v>
      </c>
    </row>
    <row r="16" spans="2:28" ht="40.5" customHeight="1">
      <c r="B16" s="1120" t="s">
        <v>471</v>
      </c>
      <c r="C16" s="1120"/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</row>
  </sheetData>
  <sheetProtection password="C8D1" sheet="1" scenarios="1" formatRows="0"/>
  <mergeCells count="25">
    <mergeCell ref="B16:AB16"/>
    <mergeCell ref="B12:C12"/>
    <mergeCell ref="B13:C13"/>
    <mergeCell ref="B6:C7"/>
    <mergeCell ref="G6:H6"/>
    <mergeCell ref="B8:C8"/>
    <mergeCell ref="Y6:Z6"/>
    <mergeCell ref="I6:J6"/>
    <mergeCell ref="W6:X6"/>
    <mergeCell ref="M6:N6"/>
    <mergeCell ref="A1:AB1"/>
    <mergeCell ref="A6:A7"/>
    <mergeCell ref="AA6:AB6"/>
    <mergeCell ref="U6:V6"/>
    <mergeCell ref="Q6:R6"/>
    <mergeCell ref="S6:T6"/>
    <mergeCell ref="O6:P6"/>
    <mergeCell ref="B11:C11"/>
    <mergeCell ref="K6:L6"/>
    <mergeCell ref="B9:C9"/>
    <mergeCell ref="B10:C10"/>
    <mergeCell ref="E6:F6"/>
    <mergeCell ref="D6:D7"/>
    <mergeCell ref="E11:AB11"/>
    <mergeCell ref="M8:AB8"/>
  </mergeCells>
  <printOptions/>
  <pageMargins left="0" right="0" top="0" bottom="0" header="0" footer="0"/>
  <pageSetup horizontalDpi="600" verticalDpi="600" orientation="landscape" paperSize="9" scale="3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34">
    <tabColor rgb="FFC00000"/>
  </sheetPr>
  <dimension ref="A1:M26"/>
  <sheetViews>
    <sheetView tabSelected="1" zoomScalePageLayoutView="0" workbookViewId="0" topLeftCell="B1">
      <selection activeCell="L9" sqref="L9"/>
    </sheetView>
  </sheetViews>
  <sheetFormatPr defaultColWidth="9.140625" defaultRowHeight="12.75"/>
  <cols>
    <col min="1" max="1" width="0.9921875" style="27" customWidth="1"/>
    <col min="2" max="2" width="12.421875" style="27" customWidth="1"/>
    <col min="3" max="3" width="14.140625" style="27" customWidth="1"/>
    <col min="4" max="4" width="14.57421875" style="27" customWidth="1"/>
    <col min="5" max="5" width="13.28125" style="27" customWidth="1"/>
    <col min="6" max="11" width="12.7109375" style="27" customWidth="1"/>
    <col min="12" max="12" width="13.7109375" style="27" customWidth="1"/>
    <col min="13" max="13" width="43.8515625" style="27" customWidth="1"/>
    <col min="14" max="16384" width="9.140625" style="27" customWidth="1"/>
  </cols>
  <sheetData>
    <row r="1" spans="1:13" ht="12.75">
      <c r="A1" s="839" t="str">
        <f>org</f>
        <v>Муниципальное предприятие по эксплуатации систем водоснабжения и водоотведения "Водоканал" г.Великие Луки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</row>
    <row r="2" spans="1:12" ht="30" customHeight="1">
      <c r="A2" s="1163" t="str">
        <f>"Расчет тарифа на "&amp;period&amp;" годы с календарной разбивкой по предложению предприятия"</f>
        <v>Расчет тарифа на 2019-2023 годы с календарной разбивкой по предложению предприятия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</row>
    <row r="3" ht="13.5" thickBot="1"/>
    <row r="4" spans="2:12" ht="22.5" customHeight="1" thickBot="1">
      <c r="B4" s="1166" t="s">
        <v>164</v>
      </c>
      <c r="C4" s="1164" t="str">
        <f>year1</f>
        <v>2019</v>
      </c>
      <c r="D4" s="1165"/>
      <c r="E4" s="1164">
        <f>year2</f>
        <v>2020</v>
      </c>
      <c r="F4" s="1165"/>
      <c r="G4" s="1164">
        <f>year3</f>
        <v>2021</v>
      </c>
      <c r="H4" s="1165"/>
      <c r="I4" s="1164">
        <f>year4</f>
        <v>2022</v>
      </c>
      <c r="J4" s="1165"/>
      <c r="K4" s="1164">
        <f>year5</f>
        <v>2023</v>
      </c>
      <c r="L4" s="1165"/>
    </row>
    <row r="5" spans="2:12" ht="12.75" customHeight="1">
      <c r="B5" s="1167"/>
      <c r="C5" s="593" t="s">
        <v>575</v>
      </c>
      <c r="D5" s="600" t="s">
        <v>575</v>
      </c>
      <c r="E5" s="593" t="s">
        <v>575</v>
      </c>
      <c r="F5" s="600" t="s">
        <v>575</v>
      </c>
      <c r="G5" s="593" t="s">
        <v>575</v>
      </c>
      <c r="H5" s="600" t="s">
        <v>575</v>
      </c>
      <c r="I5" s="593" t="s">
        <v>575</v>
      </c>
      <c r="J5" s="600" t="s">
        <v>575</v>
      </c>
      <c r="K5" s="593" t="s">
        <v>575</v>
      </c>
      <c r="L5" s="600" t="s">
        <v>575</v>
      </c>
    </row>
    <row r="6" spans="2:12" ht="33.75" customHeight="1" thickBot="1">
      <c r="B6" s="1168"/>
      <c r="C6" s="598" t="str">
        <f>Заголовок!D17</f>
        <v>01.01.2019-30.06.2019</v>
      </c>
      <c r="D6" s="599" t="str">
        <f>Заголовок!E17</f>
        <v>01.07.2019-31.12.2019</v>
      </c>
      <c r="E6" s="598" t="str">
        <f>Заголовок!D18</f>
        <v>01.01.2020-30.06.2020</v>
      </c>
      <c r="F6" s="599" t="str">
        <f>Заголовок!E18</f>
        <v>01.07.2020-31.12.2020</v>
      </c>
      <c r="G6" s="598" t="str">
        <f>Заголовок!D19</f>
        <v>01.01.2021-30.06.2021</v>
      </c>
      <c r="H6" s="599" t="str">
        <f>Заголовок!E19</f>
        <v>01.07.2021-31.12.2021</v>
      </c>
      <c r="I6" s="598" t="str">
        <f>Заголовок!D20</f>
        <v>01.01.2022-30.06.2022</v>
      </c>
      <c r="J6" s="599" t="str">
        <f>Заголовок!E20</f>
        <v>01.07.2022-31.12.2022</v>
      </c>
      <c r="K6" s="598" t="str">
        <f>Заголовок!D21</f>
        <v>01.01.2023-30.06.2023</v>
      </c>
      <c r="L6" s="599" t="str">
        <f>Заголовок!E21</f>
        <v>01.07.2023-31.12.2023</v>
      </c>
    </row>
    <row r="7" spans="2:12" ht="18" customHeight="1">
      <c r="B7" s="601" t="s">
        <v>358</v>
      </c>
      <c r="C7" s="594">
        <f>'метод индекс'!G6</f>
        <v>97.98</v>
      </c>
      <c r="D7" s="595">
        <f>'метод индекс'!I6</f>
        <v>148.6</v>
      </c>
      <c r="E7" s="594">
        <f>'метод индекс'!K6</f>
        <v>148.61</v>
      </c>
      <c r="F7" s="595">
        <f>'метод индекс'!M6</f>
        <v>154.75</v>
      </c>
      <c r="G7" s="594">
        <f>'метод индекс'!O6</f>
        <v>154.75</v>
      </c>
      <c r="H7" s="595">
        <f>'метод индекс'!Q6</f>
        <v>160.1</v>
      </c>
      <c r="I7" s="594">
        <f>'метод индекс'!S6</f>
        <v>160.08</v>
      </c>
      <c r="J7" s="595">
        <f>'метод индекс'!U6</f>
        <v>165.84</v>
      </c>
      <c r="K7" s="594">
        <f>'метод индекс'!W6</f>
        <v>165.84</v>
      </c>
      <c r="L7" s="595">
        <f>'метод индекс'!Y6</f>
        <v>172.2</v>
      </c>
    </row>
    <row r="8" spans="2:12" ht="18" customHeight="1">
      <c r="B8" s="602" t="s">
        <v>359</v>
      </c>
      <c r="C8" s="596">
        <f>'метод индекс'!G13</f>
        <v>6</v>
      </c>
      <c r="D8" s="597">
        <f>'метод индекс'!I13</f>
        <v>6</v>
      </c>
      <c r="E8" s="596">
        <f>'метод индекс'!K13</f>
        <v>6</v>
      </c>
      <c r="F8" s="597">
        <f>'метод индекс'!M13</f>
        <v>6</v>
      </c>
      <c r="G8" s="596">
        <f>'метод индекс'!O13</f>
        <v>6</v>
      </c>
      <c r="H8" s="597">
        <f>'метод индекс'!Q13</f>
        <v>6</v>
      </c>
      <c r="I8" s="596">
        <f>'метод индекс'!S13</f>
        <v>6</v>
      </c>
      <c r="J8" s="597">
        <f>'метод индекс'!U13</f>
        <v>6</v>
      </c>
      <c r="K8" s="596">
        <f>'метод индекс'!W13</f>
        <v>6</v>
      </c>
      <c r="L8" s="597">
        <f>'метод индекс'!Y13</f>
        <v>6</v>
      </c>
    </row>
    <row r="9" spans="2:12" ht="17.25" customHeight="1">
      <c r="B9" s="602" t="s">
        <v>360</v>
      </c>
      <c r="C9" s="596">
        <f aca="true" t="shared" si="0" ref="C9:L9">IF(C8=0,0,C7/C8)</f>
        <v>16.33</v>
      </c>
      <c r="D9" s="597">
        <f t="shared" si="0"/>
        <v>24.77</v>
      </c>
      <c r="E9" s="596">
        <f t="shared" si="0"/>
        <v>24.77</v>
      </c>
      <c r="F9" s="597">
        <f t="shared" si="0"/>
        <v>25.79</v>
      </c>
      <c r="G9" s="596">
        <f t="shared" si="0"/>
        <v>25.79</v>
      </c>
      <c r="H9" s="597">
        <f t="shared" si="0"/>
        <v>26.68</v>
      </c>
      <c r="I9" s="596">
        <f t="shared" si="0"/>
        <v>26.68</v>
      </c>
      <c r="J9" s="597">
        <f t="shared" si="0"/>
        <v>27.64</v>
      </c>
      <c r="K9" s="596">
        <f t="shared" si="0"/>
        <v>27.64</v>
      </c>
      <c r="L9" s="597">
        <f t="shared" si="0"/>
        <v>28.7</v>
      </c>
    </row>
    <row r="10" spans="2:12" ht="12.75">
      <c r="B10" s="602"/>
      <c r="C10" s="1171" t="str">
        <f>IF('доп. инф.'!$E$9,"(Без НДС)","(НДС Не облагается)")</f>
        <v>(Без НДС)</v>
      </c>
      <c r="D10" s="1172"/>
      <c r="E10" s="1171" t="str">
        <f>IF('доп. инф.'!$F$9,"(Без НДС)","(НДС Не облагается)")</f>
        <v>(Без НДС)</v>
      </c>
      <c r="F10" s="1172"/>
      <c r="G10" s="1171" t="str">
        <f>IF('доп. инф.'!$G$9,"(Без НДС)","(НДС Не облагается)")</f>
        <v>(Без НДС)</v>
      </c>
      <c r="H10" s="1172"/>
      <c r="I10" s="1171" t="str">
        <f>IF('доп. инф.'!$H$9,"(Без НДС)","(НДС Не облагается)")</f>
        <v>(Без НДС)</v>
      </c>
      <c r="J10" s="1172"/>
      <c r="K10" s="1171" t="str">
        <f>IF('доп. инф.'!$I$9,"(Без НДС)","(НДС Не облагается)")</f>
        <v>(Без НДС)</v>
      </c>
      <c r="L10" s="1172"/>
    </row>
    <row r="11" spans="2:12" ht="20.25" customHeight="1">
      <c r="B11" s="602" t="s">
        <v>361</v>
      </c>
      <c r="C11" s="596">
        <v>0</v>
      </c>
      <c r="D11" s="597">
        <f aca="true" t="shared" si="1" ref="D11:J11">IF(C9=0,0,D9/C9*100)</f>
        <v>151.68</v>
      </c>
      <c r="E11" s="596">
        <f t="shared" si="1"/>
        <v>100</v>
      </c>
      <c r="F11" s="597">
        <f t="shared" si="1"/>
        <v>104.12</v>
      </c>
      <c r="G11" s="596">
        <f t="shared" si="1"/>
        <v>100</v>
      </c>
      <c r="H11" s="597">
        <f t="shared" si="1"/>
        <v>103.45</v>
      </c>
      <c r="I11" s="596">
        <f t="shared" si="1"/>
        <v>100</v>
      </c>
      <c r="J11" s="597">
        <f t="shared" si="1"/>
        <v>103.6</v>
      </c>
      <c r="K11" s="596">
        <f>IF(F9=0,0,K9/J9*100)</f>
        <v>100</v>
      </c>
      <c r="L11" s="597">
        <f>IF(K9=0,0,L9/K9*100)</f>
        <v>103.84</v>
      </c>
    </row>
    <row r="12" spans="2:12" ht="25.5">
      <c r="B12" s="603" t="s">
        <v>362</v>
      </c>
      <c r="C12" s="596">
        <f>IF('доп. инф.'!$E$9,C9*1.18,C9)</f>
        <v>19.27</v>
      </c>
      <c r="D12" s="597">
        <f>IF('доп. инф.'!$E$9,D9*1.18,D9)</f>
        <v>29.23</v>
      </c>
      <c r="E12" s="596">
        <f>IF('доп. инф.'!$F$9,E9*1.18,E9)</f>
        <v>29.23</v>
      </c>
      <c r="F12" s="597">
        <f>IF('доп. инф.'!$F$9,F9*1.18,F9)</f>
        <v>30.43</v>
      </c>
      <c r="G12" s="596">
        <f>IF('доп. инф.'!$F$9,G9*1.18,G9)</f>
        <v>30.43</v>
      </c>
      <c r="H12" s="597">
        <f>IF('доп. инф.'!$F$9,H9*1.18,H9)</f>
        <v>31.48</v>
      </c>
      <c r="I12" s="596">
        <f>IF('доп. инф.'!$F$9,I9*1.18,I9)</f>
        <v>31.48</v>
      </c>
      <c r="J12" s="597">
        <f>IF('доп. инф.'!$F$9,J9*1.18,J9)</f>
        <v>32.62</v>
      </c>
      <c r="K12" s="596">
        <f>IF('доп. инф.'!$G$9,K9*1.18,K9)</f>
        <v>32.62</v>
      </c>
      <c r="L12" s="597">
        <f>IF('доп. инф.'!$G$9,L9*1.18,L9)</f>
        <v>33.87</v>
      </c>
    </row>
    <row r="13" spans="2:12" ht="13.5" thickBot="1">
      <c r="B13" s="604"/>
      <c r="C13" s="1169" t="str">
        <f>IF('доп. инф.'!$E$9,"(с НДС)","(НДС не облагается)")</f>
        <v>(с НДС)</v>
      </c>
      <c r="D13" s="1170"/>
      <c r="E13" s="1169" t="str">
        <f>IF('доп. инф.'!$F$9,"(с НДС)","(НДС не облагается)")</f>
        <v>(с НДС)</v>
      </c>
      <c r="F13" s="1170"/>
      <c r="G13" s="1169" t="str">
        <f>IF('доп. инф.'!$G$9,"(с НДС)","(НДС не облагается)")</f>
        <v>(с НДС)</v>
      </c>
      <c r="H13" s="1170"/>
      <c r="I13" s="1169" t="str">
        <f>IF('доп. инф.'!$H$9,"(с НДС)","(НДС не облагается)")</f>
        <v>(с НДС)</v>
      </c>
      <c r="J13" s="1170"/>
      <c r="K13" s="1169" t="str">
        <f>IF('доп. инф.'!$H$9,"(с НДС)","(НДС не облагается)")</f>
        <v>(с НДС)</v>
      </c>
      <c r="L13" s="1170"/>
    </row>
    <row r="15" spans="1:12" ht="30" customHeight="1">
      <c r="A15" s="1163" t="str">
        <f>"Расчет тарифа на "&amp;period&amp;" годы с календарной разбивкой по предложению Госкомитета"</f>
        <v>Расчет тарифа на 2019-2023 годы с календарной разбивкой по предложению Госкомитета</v>
      </c>
      <c r="B15" s="1163"/>
      <c r="C15" s="1163"/>
      <c r="D15" s="1163"/>
      <c r="E15" s="1163"/>
      <c r="F15" s="1163"/>
      <c r="G15" s="1163"/>
      <c r="H15" s="1163"/>
      <c r="I15" s="1163"/>
      <c r="J15" s="1163"/>
      <c r="K15" s="1163"/>
      <c r="L15" s="1163"/>
    </row>
    <row r="16" ht="13.5" thickBot="1"/>
    <row r="17" spans="2:12" ht="13.5" customHeight="1" thickBot="1">
      <c r="B17" s="1166" t="s">
        <v>2</v>
      </c>
      <c r="C17" s="1164" t="str">
        <f>year1</f>
        <v>2019</v>
      </c>
      <c r="D17" s="1165"/>
      <c r="E17" s="1164">
        <f>year2</f>
        <v>2020</v>
      </c>
      <c r="F17" s="1165"/>
      <c r="G17" s="1164">
        <f>year3</f>
        <v>2021</v>
      </c>
      <c r="H17" s="1165"/>
      <c r="I17" s="1164">
        <f>year4</f>
        <v>2022</v>
      </c>
      <c r="J17" s="1165"/>
      <c r="K17" s="1164">
        <f>year5</f>
        <v>2023</v>
      </c>
      <c r="L17" s="1165"/>
    </row>
    <row r="18" spans="2:12" ht="12.75" customHeight="1">
      <c r="B18" s="1167"/>
      <c r="C18" s="593" t="s">
        <v>575</v>
      </c>
      <c r="D18" s="600" t="s">
        <v>575</v>
      </c>
      <c r="E18" s="593" t="s">
        <v>575</v>
      </c>
      <c r="F18" s="600" t="s">
        <v>575</v>
      </c>
      <c r="G18" s="593" t="s">
        <v>575</v>
      </c>
      <c r="H18" s="600" t="s">
        <v>575</v>
      </c>
      <c r="I18" s="593" t="s">
        <v>575</v>
      </c>
      <c r="J18" s="600" t="s">
        <v>575</v>
      </c>
      <c r="K18" s="593" t="s">
        <v>575</v>
      </c>
      <c r="L18" s="600" t="s">
        <v>575</v>
      </c>
    </row>
    <row r="19" spans="2:12" ht="29.25" customHeight="1" thickBot="1">
      <c r="B19" s="1168"/>
      <c r="C19" s="598" t="str">
        <f>Заголовок!D17</f>
        <v>01.01.2019-30.06.2019</v>
      </c>
      <c r="D19" s="599" t="str">
        <f>Заголовок!E17</f>
        <v>01.07.2019-31.12.2019</v>
      </c>
      <c r="E19" s="598" t="str">
        <f>Заголовок!D18</f>
        <v>01.01.2020-30.06.2020</v>
      </c>
      <c r="F19" s="599" t="str">
        <f>Заголовок!E18</f>
        <v>01.07.2020-31.12.2020</v>
      </c>
      <c r="G19" s="598" t="str">
        <f>Заголовок!D19</f>
        <v>01.01.2021-30.06.2021</v>
      </c>
      <c r="H19" s="599" t="str">
        <f>Заголовок!E19</f>
        <v>01.07.2021-31.12.2021</v>
      </c>
      <c r="I19" s="598" t="str">
        <f>Заголовок!D20</f>
        <v>01.01.2022-30.06.2022</v>
      </c>
      <c r="J19" s="599" t="str">
        <f>Заголовок!E20</f>
        <v>01.07.2022-31.12.2022</v>
      </c>
      <c r="K19" s="598" t="str">
        <f>Заголовок!D21</f>
        <v>01.01.2023-30.06.2023</v>
      </c>
      <c r="L19" s="599" t="str">
        <f>Заголовок!E21</f>
        <v>01.07.2023-31.12.2023</v>
      </c>
    </row>
    <row r="20" spans="2:12" ht="20.25" customHeight="1">
      <c r="B20" s="601" t="s">
        <v>358</v>
      </c>
      <c r="C20" s="594">
        <f>'метод индекс'!H6</f>
        <v>0</v>
      </c>
      <c r="D20" s="595">
        <f>'метод индекс'!J6</f>
        <v>0</v>
      </c>
      <c r="E20" s="594">
        <f>'метод индекс'!L6</f>
        <v>0</v>
      </c>
      <c r="F20" s="595">
        <f>'метод индекс'!N6</f>
        <v>0</v>
      </c>
      <c r="G20" s="594">
        <f>'метод индекс'!P6</f>
        <v>0</v>
      </c>
      <c r="H20" s="595">
        <f>'метод индекс'!R6</f>
        <v>0</v>
      </c>
      <c r="I20" s="594">
        <f>'метод индекс'!T6</f>
        <v>0</v>
      </c>
      <c r="J20" s="595">
        <f>'метод индекс'!V6</f>
        <v>0</v>
      </c>
      <c r="K20" s="594">
        <f>'метод индекс'!X6</f>
        <v>0</v>
      </c>
      <c r="L20" s="595">
        <f>'метод индекс'!Z6</f>
        <v>0</v>
      </c>
    </row>
    <row r="21" spans="2:12" ht="17.25" customHeight="1">
      <c r="B21" s="602" t="s">
        <v>359</v>
      </c>
      <c r="C21" s="596">
        <f>'метод индекс'!H13</f>
        <v>0</v>
      </c>
      <c r="D21" s="597">
        <f>'метод индекс'!J13</f>
        <v>0</v>
      </c>
      <c r="E21" s="596">
        <f>'метод индекс'!L13</f>
        <v>0</v>
      </c>
      <c r="F21" s="597">
        <f>'метод индекс'!N13</f>
        <v>0</v>
      </c>
      <c r="G21" s="596">
        <f>'метод индекс'!P13</f>
        <v>0</v>
      </c>
      <c r="H21" s="597">
        <f>'метод индекс'!R13</f>
        <v>0</v>
      </c>
      <c r="I21" s="596">
        <f>'метод индекс'!T13</f>
        <v>0</v>
      </c>
      <c r="J21" s="597">
        <f>'метод индекс'!V13</f>
        <v>0</v>
      </c>
      <c r="K21" s="596">
        <f>'метод индекс'!X13</f>
        <v>0</v>
      </c>
      <c r="L21" s="597">
        <f>'метод индекс'!Z13</f>
        <v>0</v>
      </c>
    </row>
    <row r="22" spans="2:12" ht="17.25" customHeight="1">
      <c r="B22" s="602" t="s">
        <v>360</v>
      </c>
      <c r="C22" s="596">
        <f aca="true" t="shared" si="2" ref="C22:L22">IF(C21=0,0,C20/C21)</f>
        <v>0</v>
      </c>
      <c r="D22" s="597">
        <f t="shared" si="2"/>
        <v>0</v>
      </c>
      <c r="E22" s="596">
        <f t="shared" si="2"/>
        <v>0</v>
      </c>
      <c r="F22" s="597">
        <f t="shared" si="2"/>
        <v>0</v>
      </c>
      <c r="G22" s="596">
        <f t="shared" si="2"/>
        <v>0</v>
      </c>
      <c r="H22" s="597">
        <f t="shared" si="2"/>
        <v>0</v>
      </c>
      <c r="I22" s="596">
        <f t="shared" si="2"/>
        <v>0</v>
      </c>
      <c r="J22" s="597">
        <f t="shared" si="2"/>
        <v>0</v>
      </c>
      <c r="K22" s="596">
        <f t="shared" si="2"/>
        <v>0</v>
      </c>
      <c r="L22" s="597">
        <f t="shared" si="2"/>
        <v>0</v>
      </c>
    </row>
    <row r="23" spans="2:12" ht="12.75">
      <c r="B23" s="602"/>
      <c r="C23" s="1171" t="str">
        <f>IF('доп. инф.'!$E$9,"(Без НДС)","(НДС Не облагается)")</f>
        <v>(Без НДС)</v>
      </c>
      <c r="D23" s="1172"/>
      <c r="E23" s="1171" t="str">
        <f>IF('доп. инф.'!$F$9,"(Без НДС)","(НДС Не облагается)")</f>
        <v>(Без НДС)</v>
      </c>
      <c r="F23" s="1172"/>
      <c r="G23" s="1171" t="str">
        <f>IF('доп. инф.'!$G$9,"(Без НДС)","(НДС Не облагается)")</f>
        <v>(Без НДС)</v>
      </c>
      <c r="H23" s="1172"/>
      <c r="I23" s="1171" t="str">
        <f>IF('доп. инф.'!$H$9,"(Без НДС)","(НДС Не облагается)")</f>
        <v>(Без НДС)</v>
      </c>
      <c r="J23" s="1172"/>
      <c r="K23" s="1171" t="str">
        <f>IF('доп. инф.'!$I$9,"(Без НДС)","(НДС Не облагается)")</f>
        <v>(Без НДС)</v>
      </c>
      <c r="L23" s="1172"/>
    </row>
    <row r="24" spans="2:12" ht="19.5" customHeight="1">
      <c r="B24" s="602" t="s">
        <v>361</v>
      </c>
      <c r="C24" s="596">
        <v>0</v>
      </c>
      <c r="D24" s="597">
        <f aca="true" t="shared" si="3" ref="D24:J24">IF(C22=0,0,D22/C22*100)</f>
        <v>0</v>
      </c>
      <c r="E24" s="596">
        <f t="shared" si="3"/>
        <v>0</v>
      </c>
      <c r="F24" s="597">
        <f t="shared" si="3"/>
        <v>0</v>
      </c>
      <c r="G24" s="596">
        <f t="shared" si="3"/>
        <v>0</v>
      </c>
      <c r="H24" s="597">
        <f t="shared" si="3"/>
        <v>0</v>
      </c>
      <c r="I24" s="596">
        <f t="shared" si="3"/>
        <v>0</v>
      </c>
      <c r="J24" s="597">
        <f t="shared" si="3"/>
        <v>0</v>
      </c>
      <c r="K24" s="596">
        <f>IF(F22=0,0,K22/J22*100)</f>
        <v>0</v>
      </c>
      <c r="L24" s="597">
        <f>IF(K22=0,0,L22/K22*100)</f>
        <v>0</v>
      </c>
    </row>
    <row r="25" spans="2:12" ht="28.5" customHeight="1">
      <c r="B25" s="603" t="s">
        <v>362</v>
      </c>
      <c r="C25" s="596">
        <f>IF('доп. инф.'!$E$9,C22*1.18,C22)</f>
        <v>0</v>
      </c>
      <c r="D25" s="597">
        <f>IF('доп. инф.'!$E$9,D22*1.18,D22)</f>
        <v>0</v>
      </c>
      <c r="E25" s="596">
        <f>IF('доп. инф.'!$F$9,E22*1.18,E22)</f>
        <v>0</v>
      </c>
      <c r="F25" s="597">
        <f>IF('доп. инф.'!$F$9,F22*1.18,F22)</f>
        <v>0</v>
      </c>
      <c r="G25" s="596">
        <f>IF('доп. инф.'!$F$9,G22*1.18,G22)</f>
        <v>0</v>
      </c>
      <c r="H25" s="597">
        <f>IF('доп. инф.'!$F$9,H22*1.18,H22)</f>
        <v>0</v>
      </c>
      <c r="I25" s="596">
        <f>IF('доп. инф.'!$F$9,I22*1.18,I22)</f>
        <v>0</v>
      </c>
      <c r="J25" s="597">
        <f>IF('доп. инф.'!$F$9,J22*1.18,J22)</f>
        <v>0</v>
      </c>
      <c r="K25" s="596">
        <f>IF('доп. инф.'!$G$9,K22*1.18,K22)</f>
        <v>0</v>
      </c>
      <c r="L25" s="597">
        <f>IF('доп. инф.'!$G$9,L22*1.18,L22)</f>
        <v>0</v>
      </c>
    </row>
    <row r="26" spans="2:12" ht="18" customHeight="1" thickBot="1">
      <c r="B26" s="604"/>
      <c r="C26" s="1169" t="str">
        <f>IF('доп. инф.'!$E$9,"(с НДС)","(НДС не облагается)")</f>
        <v>(с НДС)</v>
      </c>
      <c r="D26" s="1170"/>
      <c r="E26" s="1169" t="str">
        <f>IF('доп. инф.'!$F$9,"(с НДС)","(НДС не облагается)")</f>
        <v>(с НДС)</v>
      </c>
      <c r="F26" s="1170"/>
      <c r="G26" s="1169" t="str">
        <f>IF('доп. инф.'!$G$9,"(с НДС)","(НДС не облагается)")</f>
        <v>(с НДС)</v>
      </c>
      <c r="H26" s="1170"/>
      <c r="I26" s="1169" t="str">
        <f>IF('доп. инф.'!$H$9,"(с НДС)","(НДС не облагается)")</f>
        <v>(с НДС)</v>
      </c>
      <c r="J26" s="1170"/>
      <c r="K26" s="1169" t="str">
        <f>IF('доп. инф.'!$H$9,"(с НДС)","(НДС не облагается)")</f>
        <v>(с НДС)</v>
      </c>
      <c r="L26" s="1170"/>
    </row>
  </sheetData>
  <sheetProtection password="C8D1" sheet="1" scenarios="1" formatRows="0"/>
  <mergeCells count="35">
    <mergeCell ref="G26:H26"/>
    <mergeCell ref="I26:J26"/>
    <mergeCell ref="A15:L15"/>
    <mergeCell ref="B17:B19"/>
    <mergeCell ref="C17:D17"/>
    <mergeCell ref="E17:F17"/>
    <mergeCell ref="K17:L17"/>
    <mergeCell ref="C26:D26"/>
    <mergeCell ref="E26:F26"/>
    <mergeCell ref="K26:L26"/>
    <mergeCell ref="C23:D23"/>
    <mergeCell ref="E23:F23"/>
    <mergeCell ref="K23:L23"/>
    <mergeCell ref="C10:D10"/>
    <mergeCell ref="E10:F10"/>
    <mergeCell ref="K10:L10"/>
    <mergeCell ref="G17:H17"/>
    <mergeCell ref="I17:J17"/>
    <mergeCell ref="C13:D13"/>
    <mergeCell ref="E13:F13"/>
    <mergeCell ref="K13:L13"/>
    <mergeCell ref="G10:H10"/>
    <mergeCell ref="I10:J10"/>
    <mergeCell ref="G23:H23"/>
    <mergeCell ref="I23:J23"/>
    <mergeCell ref="G13:H13"/>
    <mergeCell ref="I13:J13"/>
    <mergeCell ref="A2:L2"/>
    <mergeCell ref="A1:M1"/>
    <mergeCell ref="C4:D4"/>
    <mergeCell ref="E4:F4"/>
    <mergeCell ref="K4:L4"/>
    <mergeCell ref="B4:B6"/>
    <mergeCell ref="G4:H4"/>
    <mergeCell ref="I4:J4"/>
  </mergeCells>
  <printOptions/>
  <pageMargins left="0.11811023622047245" right="0" top="0.7480314960629921" bottom="0.7480314960629921" header="0" footer="0"/>
  <pageSetup horizontalDpi="600" verticalDpi="600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6"/>
  <dimension ref="A1:L28"/>
  <sheetViews>
    <sheetView zoomScalePageLayoutView="0" workbookViewId="0" topLeftCell="A10">
      <selection activeCell="D6" sqref="D6"/>
    </sheetView>
  </sheetViews>
  <sheetFormatPr defaultColWidth="9.140625" defaultRowHeight="12.75"/>
  <cols>
    <col min="1" max="1" width="1.1484375" style="27" customWidth="1"/>
    <col min="2" max="2" width="23.8515625" style="27" customWidth="1"/>
    <col min="3" max="12" width="12.421875" style="27" customWidth="1"/>
    <col min="13" max="16384" width="9.140625" style="27" customWidth="1"/>
  </cols>
  <sheetData>
    <row r="1" spans="1:12" ht="12.75" customHeight="1">
      <c r="A1" s="27" t="str">
        <f>org</f>
        <v>Муниципальное предприятие по эксплуатации систем водоснабжения и водоотведения "Водоканал" г.Великие Луки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</row>
    <row r="2" spans="2:12" ht="30" customHeight="1">
      <c r="B2" s="1181" t="s">
        <v>628</v>
      </c>
      <c r="C2" s="1181"/>
      <c r="D2" s="1181"/>
      <c r="E2" s="1181"/>
      <c r="F2" s="1181"/>
      <c r="G2" s="1181"/>
      <c r="H2" s="1181"/>
      <c r="I2" s="1181"/>
      <c r="J2" s="1181"/>
      <c r="K2" s="1181"/>
      <c r="L2" s="1181"/>
    </row>
    <row r="3" spans="2:12" ht="30" customHeight="1" thickBot="1">
      <c r="B3" s="1180" t="s">
        <v>629</v>
      </c>
      <c r="C3" s="1180"/>
      <c r="D3" s="1180"/>
      <c r="E3" s="1180"/>
      <c r="F3" s="1180"/>
      <c r="G3" s="1180"/>
      <c r="H3" s="1180"/>
      <c r="I3" s="1180"/>
      <c r="J3" s="1180"/>
      <c r="K3" s="1180"/>
      <c r="L3" s="1180"/>
    </row>
    <row r="4" spans="2:12" ht="22.5" customHeight="1" thickBot="1">
      <c r="B4" s="1166"/>
      <c r="C4" s="1164" t="str">
        <f>year1</f>
        <v>2019</v>
      </c>
      <c r="D4" s="1165"/>
      <c r="E4" s="1164">
        <f>year2</f>
        <v>2020</v>
      </c>
      <c r="F4" s="1165"/>
      <c r="G4" s="1164">
        <f>year3</f>
        <v>2021</v>
      </c>
      <c r="H4" s="1165"/>
      <c r="I4" s="1164">
        <f>year4</f>
        <v>2022</v>
      </c>
      <c r="J4" s="1165"/>
      <c r="K4" s="1164">
        <f>year5</f>
        <v>2023</v>
      </c>
      <c r="L4" s="1165"/>
    </row>
    <row r="5" spans="2:12" ht="12.75" customHeight="1">
      <c r="B5" s="1167"/>
      <c r="C5" s="593" t="s">
        <v>575</v>
      </c>
      <c r="D5" s="600" t="s">
        <v>575</v>
      </c>
      <c r="E5" s="593" t="s">
        <v>575</v>
      </c>
      <c r="F5" s="600" t="s">
        <v>575</v>
      </c>
      <c r="G5" s="593" t="s">
        <v>575</v>
      </c>
      <c r="H5" s="600" t="s">
        <v>575</v>
      </c>
      <c r="I5" s="593" t="s">
        <v>575</v>
      </c>
      <c r="J5" s="600" t="s">
        <v>575</v>
      </c>
      <c r="K5" s="593" t="s">
        <v>575</v>
      </c>
      <c r="L5" s="600" t="s">
        <v>575</v>
      </c>
    </row>
    <row r="6" spans="2:12" ht="33.75" customHeight="1" thickBot="1">
      <c r="B6" s="1168"/>
      <c r="C6" s="598" t="str">
        <f>Заголовок!D17</f>
        <v>01.01.2019-30.06.2019</v>
      </c>
      <c r="D6" s="599" t="str">
        <f>Заголовок!E17</f>
        <v>01.07.2019-31.12.2019</v>
      </c>
      <c r="E6" s="598" t="str">
        <f>Заголовок!D18</f>
        <v>01.01.2020-30.06.2020</v>
      </c>
      <c r="F6" s="599" t="str">
        <f>Заголовок!E18</f>
        <v>01.07.2020-31.12.2020</v>
      </c>
      <c r="G6" s="598" t="str">
        <f>Заголовок!D19</f>
        <v>01.01.2021-30.06.2021</v>
      </c>
      <c r="H6" s="599" t="str">
        <f>Заголовок!E19</f>
        <v>01.07.2021-31.12.2021</v>
      </c>
      <c r="I6" s="598" t="str">
        <f>Заголовок!D20</f>
        <v>01.01.2022-30.06.2022</v>
      </c>
      <c r="J6" s="599" t="str">
        <f>Заголовок!E20</f>
        <v>01.07.2022-31.12.2022</v>
      </c>
      <c r="K6" s="598" t="str">
        <f>Заголовок!D21</f>
        <v>01.01.2023-30.06.2023</v>
      </c>
      <c r="L6" s="599" t="str">
        <f>Заголовок!E21</f>
        <v>01.07.2023-31.12.2023</v>
      </c>
    </row>
    <row r="7" spans="2:12" ht="18" customHeight="1">
      <c r="B7" s="601" t="s">
        <v>358</v>
      </c>
      <c r="C7" s="594">
        <f>тарифы!C20</f>
        <v>0</v>
      </c>
      <c r="D7" s="595">
        <f>тарифы!D20</f>
        <v>0</v>
      </c>
      <c r="E7" s="594">
        <f>тарифы!E20</f>
        <v>0</v>
      </c>
      <c r="F7" s="595">
        <f>тарифы!F20</f>
        <v>0</v>
      </c>
      <c r="G7" s="594">
        <f>тарифы!G20</f>
        <v>0</v>
      </c>
      <c r="H7" s="595">
        <f>тарифы!H20</f>
        <v>0</v>
      </c>
      <c r="I7" s="594">
        <f>тарифы!I20</f>
        <v>0</v>
      </c>
      <c r="J7" s="595">
        <f>тарифы!J20</f>
        <v>0</v>
      </c>
      <c r="K7" s="594">
        <f>тарифы!K20</f>
        <v>0</v>
      </c>
      <c r="L7" s="595">
        <f>тарифы!L20</f>
        <v>0</v>
      </c>
    </row>
    <row r="8" spans="2:12" ht="18" customHeight="1">
      <c r="B8" s="602" t="s">
        <v>359</v>
      </c>
      <c r="C8" s="596">
        <f>тарифы!C21</f>
        <v>0</v>
      </c>
      <c r="D8" s="597">
        <f>тарифы!D21</f>
        <v>0</v>
      </c>
      <c r="E8" s="596">
        <f>тарифы!E21</f>
        <v>0</v>
      </c>
      <c r="F8" s="597">
        <f>тарифы!F21</f>
        <v>0</v>
      </c>
      <c r="G8" s="596">
        <f>тарифы!G21</f>
        <v>0</v>
      </c>
      <c r="H8" s="597">
        <f>тарифы!H21</f>
        <v>0</v>
      </c>
      <c r="I8" s="596">
        <f>тарифы!I21</f>
        <v>0</v>
      </c>
      <c r="J8" s="597">
        <f>тарифы!J21</f>
        <v>0</v>
      </c>
      <c r="K8" s="596">
        <f>тарифы!K21</f>
        <v>0</v>
      </c>
      <c r="L8" s="597">
        <f>тарифы!L21</f>
        <v>0</v>
      </c>
    </row>
    <row r="9" spans="2:12" ht="17.25" customHeight="1">
      <c r="B9" s="602" t="s">
        <v>635</v>
      </c>
      <c r="C9" s="596">
        <f>тарифы!C22</f>
        <v>0</v>
      </c>
      <c r="D9" s="597">
        <f>тарифы!D22</f>
        <v>0</v>
      </c>
      <c r="E9" s="596">
        <f>тарифы!E22</f>
        <v>0</v>
      </c>
      <c r="F9" s="597">
        <f>тарифы!F22</f>
        <v>0</v>
      </c>
      <c r="G9" s="596">
        <f>тарифы!G22</f>
        <v>0</v>
      </c>
      <c r="H9" s="597">
        <f>тарифы!H22</f>
        <v>0</v>
      </c>
      <c r="I9" s="596">
        <f>тарифы!I22</f>
        <v>0</v>
      </c>
      <c r="J9" s="597">
        <f>тарифы!J22</f>
        <v>0</v>
      </c>
      <c r="K9" s="596">
        <f>тарифы!K22</f>
        <v>0</v>
      </c>
      <c r="L9" s="597">
        <f>тарифы!L22</f>
        <v>0</v>
      </c>
    </row>
    <row r="10" spans="2:12" ht="12.75">
      <c r="B10" s="602"/>
      <c r="C10" s="1171" t="str">
        <f>тарифы!C23</f>
        <v>(Без НДС)</v>
      </c>
      <c r="D10" s="1172"/>
      <c r="E10" s="1171" t="str">
        <f>тарифы!E23</f>
        <v>(Без НДС)</v>
      </c>
      <c r="F10" s="1172"/>
      <c r="G10" s="1171" t="str">
        <f>тарифы!G23</f>
        <v>(Без НДС)</v>
      </c>
      <c r="H10" s="1172"/>
      <c r="I10" s="1171" t="str">
        <f>тарифы!I23</f>
        <v>(Без НДС)</v>
      </c>
      <c r="J10" s="1172"/>
      <c r="K10" s="1171" t="str">
        <f>тарифы!K23</f>
        <v>(Без НДС)</v>
      </c>
      <c r="L10" s="1172"/>
    </row>
    <row r="11" spans="2:12" ht="20.25" customHeight="1" thickBot="1">
      <c r="B11" s="604" t="s">
        <v>361</v>
      </c>
      <c r="C11" s="605">
        <f>тарифы!C24</f>
        <v>0</v>
      </c>
      <c r="D11" s="606">
        <f>тарифы!D24</f>
        <v>0</v>
      </c>
      <c r="E11" s="605">
        <f>тарифы!E24</f>
        <v>0</v>
      </c>
      <c r="F11" s="606">
        <f>тарифы!F24</f>
        <v>0</v>
      </c>
      <c r="G11" s="605">
        <f>тарифы!G24</f>
        <v>0</v>
      </c>
      <c r="H11" s="606">
        <f>тарифы!H24</f>
        <v>0</v>
      </c>
      <c r="I11" s="605">
        <f>тарифы!I24</f>
        <v>0</v>
      </c>
      <c r="J11" s="606">
        <f>тарифы!J24</f>
        <v>0</v>
      </c>
      <c r="K11" s="605">
        <f>тарифы!K24</f>
        <v>0</v>
      </c>
      <c r="L11" s="606">
        <f>тарифы!L24</f>
        <v>0</v>
      </c>
    </row>
    <row r="12" spans="3:8" ht="12.75">
      <c r="C12" s="571"/>
      <c r="D12" s="571"/>
      <c r="E12" s="571"/>
      <c r="F12" s="571"/>
      <c r="G12" s="571"/>
      <c r="H12" s="571"/>
    </row>
    <row r="13" spans="2:12" ht="30" customHeight="1" thickBot="1">
      <c r="B13" s="1180" t="s">
        <v>631</v>
      </c>
      <c r="C13" s="1180"/>
      <c r="D13" s="1180"/>
      <c r="E13" s="1180"/>
      <c r="F13" s="1180"/>
      <c r="G13" s="1180"/>
      <c r="H13" s="1180"/>
      <c r="I13" s="1180"/>
      <c r="J13" s="1180"/>
      <c r="K13" s="1180"/>
      <c r="L13" s="1180"/>
    </row>
    <row r="14" spans="3:8" ht="13.5" thickBot="1">
      <c r="C14" s="571"/>
      <c r="D14" s="571"/>
      <c r="E14" s="571"/>
      <c r="F14" s="571"/>
      <c r="G14" s="571"/>
      <c r="H14" s="571"/>
    </row>
    <row r="15" spans="2:12" ht="13.5" thickBot="1">
      <c r="B15" s="1182" t="s">
        <v>2</v>
      </c>
      <c r="C15" s="1164" t="str">
        <f>year1</f>
        <v>2019</v>
      </c>
      <c r="D15" s="1165"/>
      <c r="E15" s="1176">
        <f>year2</f>
        <v>2020</v>
      </c>
      <c r="F15" s="1176"/>
      <c r="G15" s="1164">
        <f>year3</f>
        <v>2021</v>
      </c>
      <c r="H15" s="1165"/>
      <c r="I15" s="1164">
        <f>year4</f>
        <v>2022</v>
      </c>
      <c r="J15" s="1165"/>
      <c r="K15" s="1176">
        <f>year5</f>
        <v>2023</v>
      </c>
      <c r="L15" s="1165"/>
    </row>
    <row r="16" spans="2:12" ht="36.75" customHeight="1" thickBot="1">
      <c r="B16" s="1183"/>
      <c r="C16" s="607" t="str">
        <f>Заголовок!D17</f>
        <v>01.01.2019-30.06.2019</v>
      </c>
      <c r="D16" s="608" t="str">
        <f>Заголовок!E17</f>
        <v>01.07.2019-31.12.2019</v>
      </c>
      <c r="E16" s="775" t="str">
        <f>Заголовок!D18</f>
        <v>01.01.2020-30.06.2020</v>
      </c>
      <c r="F16" s="785" t="str">
        <f>Заголовок!E18</f>
        <v>01.07.2020-31.12.2020</v>
      </c>
      <c r="G16" s="607" t="str">
        <f>Заголовок!D19</f>
        <v>01.01.2021-30.06.2021</v>
      </c>
      <c r="H16" s="608" t="str">
        <f>Заголовок!E19</f>
        <v>01.07.2021-31.12.2021</v>
      </c>
      <c r="I16" s="607" t="str">
        <f>Заголовок!D20</f>
        <v>01.01.2022-30.06.2022</v>
      </c>
      <c r="J16" s="608" t="str">
        <f>Заголовок!E20</f>
        <v>01.07.2022-31.12.2022</v>
      </c>
      <c r="K16" s="775" t="str">
        <f>Заголовок!D21</f>
        <v>01.01.2023-30.06.2023</v>
      </c>
      <c r="L16" s="608" t="str">
        <f>Заголовок!E21</f>
        <v>01.07.2023-31.12.2023</v>
      </c>
    </row>
    <row r="17" spans="2:12" ht="13.5" thickBot="1">
      <c r="B17" s="770" t="s">
        <v>632</v>
      </c>
      <c r="C17" s="780">
        <f aca="true" t="shared" si="0" ref="C17:L17">(C9-C19)*C18</f>
        <v>0</v>
      </c>
      <c r="D17" s="609">
        <f t="shared" si="0"/>
        <v>0</v>
      </c>
      <c r="E17" s="776">
        <f t="shared" si="0"/>
        <v>0</v>
      </c>
      <c r="F17" s="786">
        <f t="shared" si="0"/>
        <v>0</v>
      </c>
      <c r="G17" s="780">
        <f t="shared" si="0"/>
        <v>0</v>
      </c>
      <c r="H17" s="609">
        <f t="shared" si="0"/>
        <v>0</v>
      </c>
      <c r="I17" s="780">
        <f t="shared" si="0"/>
        <v>0</v>
      </c>
      <c r="J17" s="609">
        <f t="shared" si="0"/>
        <v>0</v>
      </c>
      <c r="K17" s="776">
        <f t="shared" si="0"/>
        <v>0</v>
      </c>
      <c r="L17" s="609">
        <f t="shared" si="0"/>
        <v>0</v>
      </c>
    </row>
    <row r="18" spans="2:12" ht="12.75">
      <c r="B18" s="771" t="s">
        <v>633</v>
      </c>
      <c r="C18" s="781">
        <f>E28/2</f>
        <v>0</v>
      </c>
      <c r="D18" s="766">
        <f>C18</f>
        <v>0</v>
      </c>
      <c r="E18" s="777">
        <f>F28/2</f>
        <v>0</v>
      </c>
      <c r="F18" s="787">
        <f>E18</f>
        <v>0</v>
      </c>
      <c r="G18" s="781">
        <f>G28/2</f>
        <v>0</v>
      </c>
      <c r="H18" s="766">
        <f>G18</f>
        <v>0</v>
      </c>
      <c r="I18" s="781">
        <f>H28/2</f>
        <v>0</v>
      </c>
      <c r="J18" s="766">
        <f>I18</f>
        <v>0</v>
      </c>
      <c r="K18" s="777">
        <f>I28/2</f>
        <v>0</v>
      </c>
      <c r="L18" s="766">
        <f>K18</f>
        <v>0</v>
      </c>
    </row>
    <row r="19" spans="2:12" ht="12.75">
      <c r="B19" s="772" t="s">
        <v>634</v>
      </c>
      <c r="C19" s="782"/>
      <c r="D19" s="767">
        <f>D22</f>
        <v>0</v>
      </c>
      <c r="E19" s="778">
        <f aca="true" t="shared" si="1" ref="E19:L19">E22</f>
        <v>0</v>
      </c>
      <c r="F19" s="788">
        <f t="shared" si="1"/>
        <v>0</v>
      </c>
      <c r="G19" s="783">
        <f t="shared" si="1"/>
        <v>0</v>
      </c>
      <c r="H19" s="767">
        <f t="shared" si="1"/>
        <v>0</v>
      </c>
      <c r="I19" s="783">
        <f t="shared" si="1"/>
        <v>0</v>
      </c>
      <c r="J19" s="767">
        <f t="shared" si="1"/>
        <v>0</v>
      </c>
      <c r="K19" s="778">
        <f t="shared" si="1"/>
        <v>0</v>
      </c>
      <c r="L19" s="767">
        <f t="shared" si="1"/>
        <v>0</v>
      </c>
    </row>
    <row r="20" spans="2:12" ht="12.75">
      <c r="B20" s="772"/>
      <c r="C20" s="1173" t="s">
        <v>630</v>
      </c>
      <c r="D20" s="1174"/>
      <c r="E20" s="1175" t="s">
        <v>630</v>
      </c>
      <c r="F20" s="1175"/>
      <c r="G20" s="1173" t="s">
        <v>630</v>
      </c>
      <c r="H20" s="1174"/>
      <c r="I20" s="1173" t="s">
        <v>630</v>
      </c>
      <c r="J20" s="1174"/>
      <c r="K20" s="1175" t="s">
        <v>630</v>
      </c>
      <c r="L20" s="1174"/>
    </row>
    <row r="21" spans="2:12" ht="12.75">
      <c r="B21" s="772" t="s">
        <v>361</v>
      </c>
      <c r="C21" s="783">
        <v>100</v>
      </c>
      <c r="D21" s="768"/>
      <c r="E21" s="778">
        <f>IF(D22*100=0,0,E22/D22*100)</f>
        <v>0</v>
      </c>
      <c r="F21" s="789"/>
      <c r="G21" s="783">
        <f>IF(F22*100=0,0,G22/F22*100)</f>
        <v>0</v>
      </c>
      <c r="H21" s="768"/>
      <c r="I21" s="783">
        <f>IF(H22*100=0,0,I22/H22*100)</f>
        <v>0</v>
      </c>
      <c r="J21" s="768"/>
      <c r="K21" s="778">
        <f>IF(J22*100=0,0,K22/J22*100)</f>
        <v>0</v>
      </c>
      <c r="L21" s="768"/>
    </row>
    <row r="22" spans="2:12" ht="12.75">
      <c r="B22" s="773" t="s">
        <v>634</v>
      </c>
      <c r="C22" s="784">
        <f>C19</f>
        <v>0</v>
      </c>
      <c r="D22" s="769">
        <f>C22*D21/100</f>
        <v>0</v>
      </c>
      <c r="E22" s="779">
        <f>D22</f>
        <v>0</v>
      </c>
      <c r="F22" s="790">
        <f>E22*F21/100</f>
        <v>0</v>
      </c>
      <c r="G22" s="791">
        <f>F22</f>
        <v>0</v>
      </c>
      <c r="H22" s="769">
        <f>G22*H21/100</f>
        <v>0</v>
      </c>
      <c r="I22" s="791">
        <f>H22</f>
        <v>0</v>
      </c>
      <c r="J22" s="769">
        <f>I22*J21/100</f>
        <v>0</v>
      </c>
      <c r="K22" s="779">
        <f>J22</f>
        <v>0</v>
      </c>
      <c r="L22" s="769">
        <f>K22*L21/100</f>
        <v>0</v>
      </c>
    </row>
    <row r="23" spans="2:12" ht="13.5" thickBot="1">
      <c r="B23" s="774"/>
      <c r="C23" s="1177" t="str">
        <f>C10</f>
        <v>(Без НДС)</v>
      </c>
      <c r="D23" s="1178"/>
      <c r="E23" s="1179" t="str">
        <f>E10</f>
        <v>(Без НДС)</v>
      </c>
      <c r="F23" s="1179"/>
      <c r="G23" s="1177" t="str">
        <f>G10</f>
        <v>(Без НДС)</v>
      </c>
      <c r="H23" s="1178"/>
      <c r="I23" s="1177" t="str">
        <f>I10</f>
        <v>(Без НДС)</v>
      </c>
      <c r="J23" s="1178"/>
      <c r="K23" s="1179" t="str">
        <f>K10</f>
        <v>(Без НДС)</v>
      </c>
      <c r="L23" s="1178"/>
    </row>
    <row r="27" spans="5:9" ht="12.75">
      <c r="E27" s="588" t="str">
        <f>year1</f>
        <v>2019</v>
      </c>
      <c r="F27" s="588">
        <f>year2</f>
        <v>2020</v>
      </c>
      <c r="G27" s="588">
        <f>year3</f>
        <v>2021</v>
      </c>
      <c r="H27" s="588">
        <f>year4</f>
        <v>2022</v>
      </c>
      <c r="I27" s="588">
        <f>year5</f>
        <v>2023</v>
      </c>
    </row>
    <row r="28" spans="4:9" ht="25.5">
      <c r="D28" s="29" t="s">
        <v>636</v>
      </c>
      <c r="E28" s="610">
        <f>'Баланс ВС'!H27</f>
        <v>0</v>
      </c>
      <c r="F28" s="610">
        <f>'Баланс ВС'!J27</f>
        <v>0</v>
      </c>
      <c r="G28" s="610">
        <f>'Баланс ВС'!L27</f>
        <v>0</v>
      </c>
      <c r="H28" s="610">
        <f>'Баланс ВС'!N27</f>
        <v>0</v>
      </c>
      <c r="I28" s="610">
        <f>'Баланс ВС'!P27</f>
        <v>0</v>
      </c>
    </row>
  </sheetData>
  <sheetProtection password="C8D1" sheet="1" scenarios="1" formatRows="0"/>
  <mergeCells count="30">
    <mergeCell ref="C23:D23"/>
    <mergeCell ref="E23:F23"/>
    <mergeCell ref="G23:H23"/>
    <mergeCell ref="B2:L2"/>
    <mergeCell ref="B13:L13"/>
    <mergeCell ref="B4:B6"/>
    <mergeCell ref="B15:B16"/>
    <mergeCell ref="C15:D15"/>
    <mergeCell ref="E15:F15"/>
    <mergeCell ref="G15:H15"/>
    <mergeCell ref="I23:J23"/>
    <mergeCell ref="K23:L23"/>
    <mergeCell ref="B3:L3"/>
    <mergeCell ref="G10:H10"/>
    <mergeCell ref="I10:J10"/>
    <mergeCell ref="K10:L10"/>
    <mergeCell ref="I15:J15"/>
    <mergeCell ref="C20:D20"/>
    <mergeCell ref="E20:F20"/>
    <mergeCell ref="G20:H20"/>
    <mergeCell ref="I4:J4"/>
    <mergeCell ref="K4:L4"/>
    <mergeCell ref="C4:D4"/>
    <mergeCell ref="I20:J20"/>
    <mergeCell ref="K20:L20"/>
    <mergeCell ref="K15:L15"/>
    <mergeCell ref="C10:D10"/>
    <mergeCell ref="E10:F10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_followHyperlink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/>
  <sheetProtection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5"/>
  <dimension ref="A1:B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793" customWidth="1"/>
    <col min="2" max="16384" width="9.140625" style="793" customWidth="1"/>
  </cols>
  <sheetData>
    <row r="1" ht="11.25">
      <c r="A1" s="792" t="s">
        <v>487</v>
      </c>
    </row>
    <row r="2" spans="1:2" ht="11.25">
      <c r="A2" s="794">
        <v>43200</v>
      </c>
      <c r="B2" s="793" t="s">
        <v>655</v>
      </c>
    </row>
    <row r="3" spans="1:2" ht="11.25">
      <c r="A3" s="794">
        <v>43200</v>
      </c>
      <c r="B3" s="793" t="s">
        <v>656</v>
      </c>
    </row>
    <row r="4" spans="1:2" ht="11.25">
      <c r="A4" s="794">
        <v>43200</v>
      </c>
      <c r="B4" s="793" t="s">
        <v>657</v>
      </c>
    </row>
    <row r="5" spans="1:2" ht="11.25">
      <c r="A5" s="794">
        <v>43200</v>
      </c>
      <c r="B5" s="793" t="s">
        <v>658</v>
      </c>
    </row>
  </sheetData>
  <sheetProtection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_inf"/>
  <dimension ref="A1:A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6384" width="9.140625" style="25" customWidth="1"/>
  </cols>
  <sheetData>
    <row r="1" ht="11.25">
      <c r="A1" s="26"/>
    </row>
  </sheetData>
  <sheetProtection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_s"/>
  <dimension ref="A1:AN22"/>
  <sheetViews>
    <sheetView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2.57421875" style="32" customWidth="1"/>
    <col min="2" max="2" width="30.00390625" style="32" customWidth="1"/>
    <col min="3" max="4" width="20.7109375" style="32" customWidth="1"/>
    <col min="5" max="5" width="23.57421875" style="32" customWidth="1"/>
    <col min="6" max="6" width="13.7109375" style="32" customWidth="1"/>
    <col min="7" max="7" width="8.00390625" style="32" customWidth="1"/>
    <col min="8" max="8" width="19.421875" style="32" customWidth="1"/>
    <col min="9" max="9" width="12.140625" style="32" customWidth="1"/>
    <col min="10" max="10" width="13.57421875" style="32" customWidth="1"/>
    <col min="11" max="11" width="11.28125" style="32" customWidth="1"/>
    <col min="12" max="12" width="20.57421875" style="32" customWidth="1"/>
    <col min="13" max="13" width="12.7109375" style="32" customWidth="1"/>
    <col min="14" max="15" width="11.28125" style="32" customWidth="1"/>
    <col min="16" max="16" width="11.57421875" style="32" customWidth="1"/>
    <col min="17" max="17" width="11.8515625" style="32" customWidth="1"/>
    <col min="18" max="18" width="14.7109375" style="32" customWidth="1"/>
    <col min="19" max="19" width="14.28125" style="32" customWidth="1"/>
    <col min="20" max="20" width="15.421875" style="32" customWidth="1"/>
    <col min="21" max="21" width="9.140625" style="32" hidden="1" customWidth="1"/>
    <col min="22" max="22" width="12.28125" style="0" customWidth="1"/>
    <col min="23" max="37" width="8.8515625" style="0" customWidth="1"/>
    <col min="38" max="16384" width="9.140625" style="32" customWidth="1"/>
  </cols>
  <sheetData>
    <row r="1" spans="1:20" ht="12.75">
      <c r="A1" s="846" t="str">
        <f>org</f>
        <v>Муниципальное предприятие по эксплуатации систем водоснабжения и водоотведения "Водоканал" г.Великие Луки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</row>
    <row r="2" spans="1:20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2:20" ht="15">
      <c r="B3" s="847" t="s">
        <v>292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</row>
    <row r="5" spans="2:22" ht="17.25" customHeight="1">
      <c r="B5" s="845" t="s">
        <v>495</v>
      </c>
      <c r="C5" s="845" t="s">
        <v>499</v>
      </c>
      <c r="D5" s="845" t="s">
        <v>525</v>
      </c>
      <c r="E5" s="845" t="s">
        <v>508</v>
      </c>
      <c r="F5" s="845" t="s">
        <v>498</v>
      </c>
      <c r="G5" s="845" t="s">
        <v>515</v>
      </c>
      <c r="H5" s="845" t="s">
        <v>496</v>
      </c>
      <c r="I5" s="845"/>
      <c r="J5" s="845"/>
      <c r="K5" s="845"/>
      <c r="L5" s="845" t="s">
        <v>507</v>
      </c>
      <c r="M5" s="845"/>
      <c r="N5" s="845"/>
      <c r="O5" s="845"/>
      <c r="P5" s="845"/>
      <c r="Q5" s="845" t="s">
        <v>519</v>
      </c>
      <c r="R5" s="845"/>
      <c r="S5" s="845"/>
      <c r="T5" s="845"/>
      <c r="U5" s="845"/>
      <c r="V5" s="845"/>
    </row>
    <row r="6" spans="2:22" ht="17.25" customHeight="1">
      <c r="B6" s="845"/>
      <c r="C6" s="845"/>
      <c r="D6" s="845"/>
      <c r="E6" s="845"/>
      <c r="F6" s="845"/>
      <c r="G6" s="845"/>
      <c r="H6" s="845" t="s">
        <v>497</v>
      </c>
      <c r="I6" s="848" t="s">
        <v>505</v>
      </c>
      <c r="J6" s="848" t="s">
        <v>506</v>
      </c>
      <c r="K6" s="848" t="s">
        <v>522</v>
      </c>
      <c r="L6" s="848" t="s">
        <v>509</v>
      </c>
      <c r="M6" s="848" t="s">
        <v>542</v>
      </c>
      <c r="N6" s="848" t="s">
        <v>505</v>
      </c>
      <c r="O6" s="848" t="s">
        <v>506</v>
      </c>
      <c r="P6" s="848" t="s">
        <v>523</v>
      </c>
      <c r="Q6" s="845" t="s">
        <v>520</v>
      </c>
      <c r="R6" s="845"/>
      <c r="S6" s="845" t="s">
        <v>521</v>
      </c>
      <c r="T6" s="845"/>
      <c r="U6" s="845"/>
      <c r="V6" s="845"/>
    </row>
    <row r="7" spans="2:22" ht="51" customHeight="1">
      <c r="B7" s="845"/>
      <c r="C7" s="845"/>
      <c r="D7" s="845"/>
      <c r="E7" s="845"/>
      <c r="F7" s="845"/>
      <c r="G7" s="845"/>
      <c r="H7" s="845"/>
      <c r="I7" s="848"/>
      <c r="J7" s="848"/>
      <c r="K7" s="848"/>
      <c r="L7" s="848"/>
      <c r="M7" s="848"/>
      <c r="N7" s="848"/>
      <c r="O7" s="848"/>
      <c r="P7" s="848"/>
      <c r="Q7" s="848" t="s">
        <v>505</v>
      </c>
      <c r="R7" s="848" t="s">
        <v>506</v>
      </c>
      <c r="S7" s="845" t="s">
        <v>540</v>
      </c>
      <c r="T7" s="845" t="s">
        <v>289</v>
      </c>
      <c r="U7" s="223" t="s">
        <v>291</v>
      </c>
      <c r="V7" s="224" t="s">
        <v>524</v>
      </c>
    </row>
    <row r="8" spans="2:22" ht="15" customHeight="1">
      <c r="B8" s="845"/>
      <c r="C8" s="845"/>
      <c r="D8" s="845"/>
      <c r="E8" s="845"/>
      <c r="F8" s="845"/>
      <c r="G8" s="845"/>
      <c r="H8" s="845"/>
      <c r="I8" s="848"/>
      <c r="J8" s="848"/>
      <c r="K8" s="390">
        <f>factYear</f>
        <v>2017</v>
      </c>
      <c r="L8" s="848"/>
      <c r="M8" s="848"/>
      <c r="N8" s="848"/>
      <c r="O8" s="848"/>
      <c r="P8" s="390">
        <f>factYear</f>
        <v>2017</v>
      </c>
      <c r="Q8" s="848"/>
      <c r="R8" s="848"/>
      <c r="S8" s="845"/>
      <c r="T8" s="845"/>
      <c r="U8" s="223"/>
      <c r="V8" s="390">
        <f>factYear</f>
        <v>2017</v>
      </c>
    </row>
    <row r="9" spans="2:22" ht="15.75" customHeight="1" thickBot="1">
      <c r="B9" s="391" t="s">
        <v>290</v>
      </c>
      <c r="C9" s="392"/>
      <c r="D9" s="392"/>
      <c r="E9" s="393"/>
      <c r="F9" s="393"/>
      <c r="G9" s="393"/>
      <c r="H9" s="392"/>
      <c r="I9" s="674">
        <f>SUM(I10:I12)</f>
        <v>2400</v>
      </c>
      <c r="J9" s="674">
        <f>SUM(J10:J12)</f>
        <v>10</v>
      </c>
      <c r="K9" s="674">
        <f>SUM(K10:K12)</f>
        <v>15.7</v>
      </c>
      <c r="L9" s="393"/>
      <c r="M9" s="393"/>
      <c r="N9" s="674">
        <f>SUM(N10:N12)</f>
        <v>0</v>
      </c>
      <c r="O9" s="674">
        <f>SUM(O10:O12)</f>
        <v>0</v>
      </c>
      <c r="P9" s="674">
        <f>SUM(P10:P12)</f>
        <v>0</v>
      </c>
      <c r="Q9" s="675">
        <f>SUM(Q10:Q12)</f>
        <v>0</v>
      </c>
      <c r="R9" s="675">
        <f>SUM(R10:R12)</f>
        <v>0</v>
      </c>
      <c r="S9" s="207"/>
      <c r="T9" s="675">
        <f>SUM(T10:T12)</f>
        <v>0</v>
      </c>
      <c r="U9" s="675">
        <f>SUM(U10:U12)</f>
        <v>0</v>
      </c>
      <c r="V9" s="675">
        <f>SUM(V10:V12)</f>
        <v>0</v>
      </c>
    </row>
    <row r="10" spans="2:20" ht="1.5" customHeight="1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</row>
    <row r="11" spans="2:22" ht="31.5" customHeight="1">
      <c r="B11" s="149" t="s">
        <v>673</v>
      </c>
      <c r="C11" s="173" t="s">
        <v>501</v>
      </c>
      <c r="D11" s="142" t="s">
        <v>674</v>
      </c>
      <c r="E11" s="796" t="s">
        <v>675</v>
      </c>
      <c r="F11" s="142">
        <v>1970</v>
      </c>
      <c r="G11" s="142">
        <v>45.5</v>
      </c>
      <c r="H11" s="173" t="s">
        <v>601</v>
      </c>
      <c r="I11" s="795">
        <v>2400</v>
      </c>
      <c r="J11" s="795">
        <v>10</v>
      </c>
      <c r="K11" s="795">
        <v>15.7</v>
      </c>
      <c r="L11" s="677"/>
      <c r="M11" s="676"/>
      <c r="N11" s="676"/>
      <c r="O11" s="676"/>
      <c r="P11" s="676"/>
      <c r="Q11" s="676"/>
      <c r="R11" s="678"/>
      <c r="S11" s="678"/>
      <c r="T11" s="679"/>
      <c r="U11" s="679"/>
      <c r="V11" s="679"/>
    </row>
    <row r="12" spans="1:40" s="68" customFormat="1" ht="13.5" thickBot="1">
      <c r="A12"/>
      <c r="B12" s="174" t="s">
        <v>437</v>
      </c>
      <c r="C12" s="175"/>
      <c r="D12" s="175"/>
      <c r="E12" s="175"/>
      <c r="F12" s="191"/>
      <c r="G12" s="191"/>
      <c r="H12" s="176"/>
      <c r="I12" s="175"/>
      <c r="J12" s="175"/>
      <c r="K12" s="175"/>
      <c r="L12" s="175"/>
      <c r="M12" s="175"/>
      <c r="N12" s="175"/>
      <c r="O12" s="175"/>
      <c r="P12" s="175"/>
      <c r="Q12" s="177"/>
      <c r="R12" s="177"/>
      <c r="S12" s="177"/>
      <c r="T12" s="178"/>
      <c r="U12" s="178"/>
      <c r="V12" s="17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67"/>
      <c r="AM12" s="67"/>
      <c r="AN12" s="67"/>
    </row>
    <row r="13" spans="3:22" ht="12.75">
      <c r="C13" s="329"/>
      <c r="D13" s="382"/>
      <c r="I13" s="41"/>
      <c r="J13" s="41"/>
      <c r="K13" s="41"/>
      <c r="M13" s="41"/>
      <c r="N13" s="41"/>
      <c r="O13" s="41"/>
      <c r="P13" s="41"/>
      <c r="V13" s="32"/>
    </row>
    <row r="14" spans="4:12" ht="12.75">
      <c r="D14" s="383"/>
      <c r="E14" s="188"/>
      <c r="H14" s="32"/>
      <c r="L14" s="32"/>
    </row>
    <row r="15" spans="4:12" ht="12.75">
      <c r="D15" s="188"/>
      <c r="E15" s="188"/>
      <c r="H15" s="32"/>
      <c r="L15" s="32"/>
    </row>
    <row r="16" spans="4:12" ht="12.75">
      <c r="D16" s="188"/>
      <c r="E16" s="188"/>
      <c r="H16" s="32"/>
      <c r="L16" s="32"/>
    </row>
    <row r="17" spans="4:21" ht="12.75">
      <c r="D17" s="188"/>
      <c r="E17" s="188"/>
      <c r="H17" s="32"/>
      <c r="L17" s="32"/>
      <c r="U17" s="32"/>
    </row>
    <row r="18" spans="4:21" ht="12.75">
      <c r="D18" s="188"/>
      <c r="E18" s="188"/>
      <c r="L18" s="32"/>
      <c r="U18" s="32"/>
    </row>
    <row r="19" spans="4:5" ht="12.75">
      <c r="D19" s="226"/>
      <c r="E19" s="226"/>
    </row>
    <row r="20" spans="4:5" ht="12.75">
      <c r="D20" s="226"/>
      <c r="E20" s="226"/>
    </row>
    <row r="21" spans="4:12" ht="12.75">
      <c r="D21" s="226"/>
      <c r="E21" s="226"/>
      <c r="H21" s="221"/>
      <c r="I21" s="221"/>
      <c r="L21" s="324"/>
    </row>
    <row r="22" spans="4:9" ht="12.75">
      <c r="D22" s="226"/>
      <c r="E22" s="226"/>
      <c r="H22" s="221"/>
      <c r="I22" s="221"/>
    </row>
  </sheetData>
  <sheetProtection password="C8D1" sheet="1" scenarios="1"/>
  <mergeCells count="26">
    <mergeCell ref="S7:S8"/>
    <mergeCell ref="T7:T8"/>
    <mergeCell ref="S6:V6"/>
    <mergeCell ref="Q6:R6"/>
    <mergeCell ref="Q7:Q8"/>
    <mergeCell ref="R7:R8"/>
    <mergeCell ref="G5:G8"/>
    <mergeCell ref="N6:N8"/>
    <mergeCell ref="O6:O8"/>
    <mergeCell ref="P6:P7"/>
    <mergeCell ref="M6:M8"/>
    <mergeCell ref="L6:L8"/>
    <mergeCell ref="K6:K7"/>
    <mergeCell ref="I6:I8"/>
    <mergeCell ref="H6:H8"/>
    <mergeCell ref="J6:J8"/>
    <mergeCell ref="B5:B8"/>
    <mergeCell ref="H5:K5"/>
    <mergeCell ref="A1:T1"/>
    <mergeCell ref="B3:T3"/>
    <mergeCell ref="C5:C8"/>
    <mergeCell ref="E5:E8"/>
    <mergeCell ref="F5:F8"/>
    <mergeCell ref="Q5:V5"/>
    <mergeCell ref="D5:D8"/>
    <mergeCell ref="L5:P5"/>
  </mergeCells>
  <dataValidations count="3">
    <dataValidation type="list" allowBlank="1" showInputMessage="1" showErrorMessage="1" sqref="C11">
      <formula1>aObjType</formula1>
    </dataValidation>
    <dataValidation type="list" allowBlank="1" showInputMessage="1" showErrorMessage="1" sqref="L11">
      <formula1>aTreatment</formula1>
    </dataValidation>
    <dataValidation type="list" allowBlank="1" showInputMessage="1" showErrorMessage="1" sqref="H11">
      <formula1>aSrcType</formula1>
    </dataValidation>
  </dataValidations>
  <hyperlinks>
    <hyperlink ref="B12" tooltip="Кликните по гиперссылке для добавления новой строки" display="Добавить строки"/>
  </hyperlinks>
  <printOptions/>
  <pageMargins left="0.1968503937007874" right="0" top="0.7480314960629921" bottom="0.7480314960629921" header="0" footer="0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K10"/>
  <sheetViews>
    <sheetView zoomScalePageLayoutView="0" workbookViewId="0" topLeftCell="A1">
      <selection activeCell="K2" sqref="K2:K9"/>
    </sheetView>
  </sheetViews>
  <sheetFormatPr defaultColWidth="9.140625" defaultRowHeight="12.75"/>
  <cols>
    <col min="1" max="1" width="17.00390625" style="16" customWidth="1"/>
    <col min="2" max="2" width="28.140625" style="16" customWidth="1"/>
    <col min="3" max="3" width="2.140625" style="16" customWidth="1"/>
    <col min="4" max="4" width="24.421875" style="16" customWidth="1"/>
    <col min="5" max="5" width="2.140625" style="16" customWidth="1"/>
    <col min="6" max="6" width="52.00390625" style="16" customWidth="1"/>
    <col min="7" max="7" width="1.7109375" style="16" customWidth="1"/>
    <col min="8" max="8" width="20.140625" style="16" customWidth="1"/>
    <col min="9" max="9" width="7.57421875" style="16" customWidth="1"/>
    <col min="10" max="10" width="2.140625" style="16" customWidth="1"/>
    <col min="11" max="11" width="31.7109375" style="16" customWidth="1"/>
    <col min="12" max="16384" width="9.140625" style="16" customWidth="1"/>
  </cols>
  <sheetData>
    <row r="1" spans="1:11" s="386" customFormat="1" ht="12.75">
      <c r="A1" s="386" t="s">
        <v>644</v>
      </c>
      <c r="B1" s="386" t="s">
        <v>641</v>
      </c>
      <c r="D1" s="387" t="s">
        <v>642</v>
      </c>
      <c r="F1" s="388" t="s">
        <v>643</v>
      </c>
      <c r="H1" s="386" t="s">
        <v>646</v>
      </c>
      <c r="K1" s="386" t="s">
        <v>647</v>
      </c>
    </row>
    <row r="2" spans="1:11" ht="25.5">
      <c r="A2" s="384" t="s">
        <v>496</v>
      </c>
      <c r="B2" s="173" t="s">
        <v>645</v>
      </c>
      <c r="D2" s="173" t="s">
        <v>599</v>
      </c>
      <c r="F2" s="173" t="s">
        <v>510</v>
      </c>
      <c r="H2" s="173" t="s">
        <v>602</v>
      </c>
      <c r="I2">
        <v>0.1</v>
      </c>
      <c r="K2" s="225" t="s">
        <v>500</v>
      </c>
    </row>
    <row r="3" spans="1:11" ht="25.5">
      <c r="A3" s="384" t="s">
        <v>496</v>
      </c>
      <c r="B3" s="173" t="s">
        <v>501</v>
      </c>
      <c r="D3" s="173" t="s">
        <v>600</v>
      </c>
      <c r="F3" s="173" t="s">
        <v>511</v>
      </c>
      <c r="H3" s="173" t="s">
        <v>603</v>
      </c>
      <c r="I3">
        <v>0.25</v>
      </c>
      <c r="K3" s="225" t="s">
        <v>501</v>
      </c>
    </row>
    <row r="4" spans="1:11" ht="25.5">
      <c r="A4" s="384" t="s">
        <v>496</v>
      </c>
      <c r="B4" s="173" t="s">
        <v>591</v>
      </c>
      <c r="D4" s="173" t="s">
        <v>601</v>
      </c>
      <c r="F4" s="173" t="s">
        <v>512</v>
      </c>
      <c r="H4" s="173" t="s">
        <v>604</v>
      </c>
      <c r="I4">
        <v>0.4</v>
      </c>
      <c r="K4" s="225" t="s">
        <v>591</v>
      </c>
    </row>
    <row r="5" spans="1:11" ht="12.75">
      <c r="A5" s="384" t="s">
        <v>496</v>
      </c>
      <c r="B5" s="173" t="s">
        <v>516</v>
      </c>
      <c r="F5" s="173" t="s">
        <v>513</v>
      </c>
      <c r="H5" s="173" t="s">
        <v>605</v>
      </c>
      <c r="I5">
        <v>0.55</v>
      </c>
      <c r="K5" s="225" t="s">
        <v>516</v>
      </c>
    </row>
    <row r="6" spans="1:11" ht="12.75">
      <c r="A6" s="384" t="s">
        <v>496</v>
      </c>
      <c r="B6" s="173" t="s">
        <v>517</v>
      </c>
      <c r="F6" s="173" t="s">
        <v>514</v>
      </c>
      <c r="H6" s="173" t="s">
        <v>606</v>
      </c>
      <c r="I6">
        <v>0.7</v>
      </c>
      <c r="K6" s="225" t="s">
        <v>517</v>
      </c>
    </row>
    <row r="7" spans="1:11" ht="12.75">
      <c r="A7" s="385" t="s">
        <v>507</v>
      </c>
      <c r="B7" s="173" t="s">
        <v>598</v>
      </c>
      <c r="F7" s="173" t="s">
        <v>543</v>
      </c>
      <c r="H7" s="173" t="s">
        <v>607</v>
      </c>
      <c r="I7">
        <v>1</v>
      </c>
      <c r="K7" s="225" t="s">
        <v>503</v>
      </c>
    </row>
    <row r="8" spans="1:11" ht="12.75">
      <c r="A8" s="385" t="s">
        <v>507</v>
      </c>
      <c r="B8" s="173" t="s">
        <v>518</v>
      </c>
      <c r="F8" s="173" t="s">
        <v>544</v>
      </c>
      <c r="K8" s="225" t="s">
        <v>518</v>
      </c>
    </row>
    <row r="9" spans="1:11" ht="12.75">
      <c r="A9" s="66" t="s">
        <v>519</v>
      </c>
      <c r="B9" s="173" t="s">
        <v>504</v>
      </c>
      <c r="K9" s="225" t="s">
        <v>502</v>
      </c>
    </row>
    <row r="10" spans="1:2" ht="12.75">
      <c r="A10" s="66" t="s">
        <v>519</v>
      </c>
      <c r="B10" s="173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_meters"/>
  <dimension ref="A1:O11"/>
  <sheetViews>
    <sheetView zoomScalePageLayoutView="0" workbookViewId="0" topLeftCell="F1">
      <selection activeCell="O25" sqref="O25"/>
    </sheetView>
  </sheetViews>
  <sheetFormatPr defaultColWidth="9.140625" defaultRowHeight="12.75"/>
  <cols>
    <col min="1" max="1" width="27.28125" style="0" customWidth="1"/>
    <col min="2" max="2" width="16.421875" style="0" customWidth="1"/>
    <col min="3" max="3" width="10.57421875" style="0" hidden="1" customWidth="1"/>
    <col min="4" max="4" width="9.7109375" style="0" customWidth="1"/>
    <col min="5" max="5" width="14.28125" style="0" customWidth="1"/>
    <col min="6" max="6" width="11.00390625" style="0" customWidth="1"/>
    <col min="7" max="7" width="13.7109375" style="0" customWidth="1"/>
    <col min="8" max="8" width="13.00390625" style="0" customWidth="1"/>
    <col min="9" max="9" width="14.28125" style="0" customWidth="1"/>
    <col min="10" max="10" width="13.8515625" style="0" customWidth="1"/>
    <col min="11" max="11" width="13.140625" style="0" customWidth="1"/>
    <col min="12" max="12" width="13.28125" style="0" customWidth="1"/>
    <col min="13" max="13" width="13.00390625" style="0" customWidth="1"/>
    <col min="14" max="15" width="14.28125" style="0" customWidth="1"/>
  </cols>
  <sheetData>
    <row r="1" ht="12.75">
      <c r="A1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1:15" ht="14.25">
      <c r="A2" s="855" t="s">
        <v>578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</row>
    <row r="3" spans="1:12" ht="13.5" thickBot="1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85"/>
    </row>
    <row r="4" spans="1:15" ht="12.75">
      <c r="A4" s="867" t="s">
        <v>587</v>
      </c>
      <c r="B4" s="870" t="s">
        <v>579</v>
      </c>
      <c r="C4" s="307"/>
      <c r="D4" s="873" t="s">
        <v>586</v>
      </c>
      <c r="E4" s="874"/>
      <c r="F4" s="875"/>
      <c r="G4" s="849" t="s">
        <v>584</v>
      </c>
      <c r="H4" s="850"/>
      <c r="I4" s="851"/>
      <c r="J4" s="865" t="s">
        <v>585</v>
      </c>
      <c r="K4" s="866"/>
      <c r="L4" s="866"/>
      <c r="M4" s="866"/>
      <c r="N4" s="866"/>
      <c r="O4" s="394" t="str">
        <f>year1</f>
        <v>2019</v>
      </c>
    </row>
    <row r="5" spans="1:15" ht="12.75">
      <c r="A5" s="868"/>
      <c r="B5" s="871"/>
      <c r="C5" s="316"/>
      <c r="D5" s="856">
        <f>factYear</f>
        <v>2017</v>
      </c>
      <c r="E5" s="857"/>
      <c r="F5" s="858"/>
      <c r="G5" s="859">
        <f>currYear</f>
        <v>2018</v>
      </c>
      <c r="H5" s="860"/>
      <c r="I5" s="861"/>
      <c r="J5" s="862" t="s">
        <v>164</v>
      </c>
      <c r="K5" s="863"/>
      <c r="L5" s="864"/>
      <c r="M5" s="862" t="s">
        <v>2</v>
      </c>
      <c r="N5" s="863"/>
      <c r="O5" s="864"/>
    </row>
    <row r="6" spans="1:15" ht="57" thickBot="1">
      <c r="A6" s="869"/>
      <c r="B6" s="872"/>
      <c r="C6" s="308"/>
      <c r="D6" s="309" t="s">
        <v>580</v>
      </c>
      <c r="E6" s="310" t="s">
        <v>581</v>
      </c>
      <c r="F6" s="311" t="s">
        <v>582</v>
      </c>
      <c r="G6" s="309" t="s">
        <v>580</v>
      </c>
      <c r="H6" s="310" t="s">
        <v>581</v>
      </c>
      <c r="I6" s="311" t="s">
        <v>582</v>
      </c>
      <c r="J6" s="309" t="s">
        <v>580</v>
      </c>
      <c r="K6" s="310" t="s">
        <v>581</v>
      </c>
      <c r="L6" s="311" t="s">
        <v>582</v>
      </c>
      <c r="M6" s="309" t="s">
        <v>580</v>
      </c>
      <c r="N6" s="310" t="s">
        <v>581</v>
      </c>
      <c r="O6" s="311" t="s">
        <v>582</v>
      </c>
    </row>
    <row r="7" spans="1:15" ht="12.75" hidden="1">
      <c r="A7" s="312"/>
      <c r="B7" s="751"/>
      <c r="C7" s="752"/>
      <c r="D7" s="753"/>
      <c r="E7" s="680"/>
      <c r="F7" s="754"/>
      <c r="G7" s="753"/>
      <c r="H7" s="680"/>
      <c r="I7" s="754"/>
      <c r="J7" s="753"/>
      <c r="K7" s="680"/>
      <c r="L7" s="754"/>
      <c r="M7" s="753"/>
      <c r="N7" s="680"/>
      <c r="O7" s="754"/>
    </row>
    <row r="8" spans="1:15" ht="13.5" thickBot="1">
      <c r="A8" s="759" t="s">
        <v>654</v>
      </c>
      <c r="B8" s="760"/>
      <c r="C8" s="761"/>
      <c r="D8" s="762">
        <f>SUM(D9:D11)</f>
        <v>7427</v>
      </c>
      <c r="E8" s="763">
        <f>SUM(E9:E11)</f>
        <v>2970.8</v>
      </c>
      <c r="F8" s="764">
        <f>IF(D8=0,0,E8/D8*1000)</f>
        <v>400</v>
      </c>
      <c r="G8" s="762">
        <f>SUM(G9:G11)</f>
        <v>7427</v>
      </c>
      <c r="H8" s="763">
        <f>SUM(H9:H11)</f>
        <v>2970.8</v>
      </c>
      <c r="I8" s="764">
        <f>IF(G8=0,0,H8/G8*1000)</f>
        <v>400</v>
      </c>
      <c r="J8" s="762">
        <f>SUM(J9:J11)</f>
        <v>7427</v>
      </c>
      <c r="K8" s="763">
        <f>SUM(K9:K11)</f>
        <v>2970.8</v>
      </c>
      <c r="L8" s="764">
        <f>IF(J8=0,0,K8/J8*1000)</f>
        <v>400</v>
      </c>
      <c r="M8" s="762">
        <f>SUM(M9:M11)</f>
        <v>0</v>
      </c>
      <c r="N8" s="763">
        <f>SUM(N9:N11)</f>
        <v>0</v>
      </c>
      <c r="O8" s="764">
        <f>IF(M8=0,0,N8/M8*1000)</f>
        <v>0</v>
      </c>
    </row>
    <row r="9" spans="1:15" ht="12.75" hidden="1">
      <c r="A9" s="755"/>
      <c r="B9" s="313"/>
      <c r="C9" s="313"/>
      <c r="D9" s="756"/>
      <c r="E9" s="757"/>
      <c r="F9" s="758"/>
      <c r="G9" s="756"/>
      <c r="H9" s="757"/>
      <c r="I9" s="758"/>
      <c r="J9" s="756"/>
      <c r="K9" s="757"/>
      <c r="L9" s="758"/>
      <c r="M9" s="756"/>
      <c r="N9" s="757"/>
      <c r="O9" s="758"/>
    </row>
    <row r="10" spans="1:15" ht="12.75">
      <c r="A10" s="315" t="s">
        <v>673</v>
      </c>
      <c r="B10" s="314" t="s">
        <v>604</v>
      </c>
      <c r="C10" s="395">
        <f ca="1">IF(B10="",0,OFFSET(h_values!$I$1,MATCH(B10,aDiameter,0),0))</f>
        <v>0.4</v>
      </c>
      <c r="D10" s="797">
        <v>7427</v>
      </c>
      <c r="E10" s="680">
        <f>$C10*D10</f>
        <v>2970.8</v>
      </c>
      <c r="F10" s="682"/>
      <c r="G10" s="797">
        <v>7427</v>
      </c>
      <c r="H10" s="680">
        <f>$C10*G10</f>
        <v>2970.8</v>
      </c>
      <c r="I10" s="682"/>
      <c r="J10" s="797">
        <v>7427</v>
      </c>
      <c r="K10" s="680">
        <f>$C10*J10</f>
        <v>2970.8</v>
      </c>
      <c r="L10" s="682"/>
      <c r="M10" s="681"/>
      <c r="N10" s="680">
        <f>$C10*M10</f>
        <v>0</v>
      </c>
      <c r="O10" s="682"/>
    </row>
    <row r="11" spans="1:15" ht="13.5" thickBot="1">
      <c r="A11" s="852" t="s">
        <v>583</v>
      </c>
      <c r="B11" s="853"/>
      <c r="C11" s="853"/>
      <c r="D11" s="853"/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4"/>
    </row>
  </sheetData>
  <sheetProtection password="C8D1" sheet="1" objects="1" scenarios="1" formatCells="0" formatRows="0"/>
  <mergeCells count="11">
    <mergeCell ref="D4:F4"/>
    <mergeCell ref="G4:I4"/>
    <mergeCell ref="A11:O11"/>
    <mergeCell ref="A2:O2"/>
    <mergeCell ref="D5:F5"/>
    <mergeCell ref="G5:I5"/>
    <mergeCell ref="J5:L5"/>
    <mergeCell ref="M5:O5"/>
    <mergeCell ref="J4:N4"/>
    <mergeCell ref="A4:A6"/>
    <mergeCell ref="B4:B6"/>
  </mergeCells>
  <dataValidations count="1">
    <dataValidation type="list" allowBlank="1" showInputMessage="1" showErrorMessage="1" sqref="B10">
      <formula1>aDiameter</formula1>
    </dataValidation>
  </dataValidations>
  <hyperlinks>
    <hyperlink ref="A11" tooltip="Кликните по гиперссылке для добавления новой строки" display="Добавить строки"/>
  </hyperlinks>
  <printOptions/>
  <pageMargins left="0.1968503937007874" right="0" top="0.7480314960629921" bottom="0.7480314960629921" header="0" footer="0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_power"/>
  <dimension ref="A1:K11"/>
  <sheetViews>
    <sheetView zoomScalePageLayoutView="0" workbookViewId="0" topLeftCell="A1">
      <selection activeCell="D9" sqref="D9:I9"/>
    </sheetView>
  </sheetViews>
  <sheetFormatPr defaultColWidth="9.140625" defaultRowHeight="12.75"/>
  <cols>
    <col min="1" max="1" width="24.140625" style="0" customWidth="1"/>
    <col min="2" max="2" width="15.8515625" style="0" customWidth="1"/>
    <col min="3" max="3" width="23.7109375" style="0" customWidth="1"/>
    <col min="4" max="4" width="16.421875" style="0" customWidth="1"/>
    <col min="5" max="5" width="16.28125" style="0" customWidth="1"/>
    <col min="6" max="6" width="14.421875" style="0" customWidth="1"/>
    <col min="7" max="7" width="16.00390625" style="0" customWidth="1"/>
    <col min="8" max="8" width="15.00390625" style="0" customWidth="1"/>
    <col min="9" max="9" width="16.8515625" style="0" customWidth="1"/>
    <col min="10" max="10" width="14.8515625" style="0" customWidth="1"/>
    <col min="11" max="11" width="16.57421875" style="0" customWidth="1"/>
    <col min="12" max="14" width="9.140625" style="183" customWidth="1"/>
  </cols>
  <sheetData>
    <row r="1" ht="12.75">
      <c r="A1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1:11" ht="15">
      <c r="A2" s="888" t="s">
        <v>592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</row>
    <row r="3" spans="1:9" ht="13.5" thickBot="1">
      <c r="A3" s="85"/>
      <c r="B3" s="85"/>
      <c r="C3" s="85"/>
      <c r="D3" s="85"/>
      <c r="E3" s="85"/>
      <c r="F3" s="85"/>
      <c r="G3" s="85"/>
      <c r="H3" s="85"/>
      <c r="I3" s="85"/>
    </row>
    <row r="4" spans="1:11" ht="19.5" customHeight="1">
      <c r="A4" s="878" t="s">
        <v>587</v>
      </c>
      <c r="B4" s="881" t="s">
        <v>525</v>
      </c>
      <c r="C4" s="884" t="s">
        <v>593</v>
      </c>
      <c r="D4" s="886" t="s">
        <v>586</v>
      </c>
      <c r="E4" s="887"/>
      <c r="F4" s="886" t="s">
        <v>584</v>
      </c>
      <c r="G4" s="887"/>
      <c r="H4" s="886" t="s">
        <v>585</v>
      </c>
      <c r="I4" s="894"/>
      <c r="J4" s="894"/>
      <c r="K4" s="396" t="str">
        <f>year1</f>
        <v>2019</v>
      </c>
    </row>
    <row r="5" spans="1:11" ht="12.75">
      <c r="A5" s="879"/>
      <c r="B5" s="882"/>
      <c r="C5" s="885"/>
      <c r="D5" s="876">
        <f>factYear</f>
        <v>2017</v>
      </c>
      <c r="E5" s="877"/>
      <c r="F5" s="876">
        <f>currYear</f>
        <v>2018</v>
      </c>
      <c r="G5" s="877"/>
      <c r="H5" s="892" t="s">
        <v>164</v>
      </c>
      <c r="I5" s="893"/>
      <c r="J5" s="892" t="s">
        <v>2</v>
      </c>
      <c r="K5" s="893"/>
    </row>
    <row r="6" spans="1:11" ht="38.25">
      <c r="A6" s="880"/>
      <c r="B6" s="883"/>
      <c r="C6" s="882"/>
      <c r="D6" s="317" t="s">
        <v>588</v>
      </c>
      <c r="E6" s="317" t="s">
        <v>589</v>
      </c>
      <c r="F6" s="317" t="s">
        <v>588</v>
      </c>
      <c r="G6" s="317" t="s">
        <v>589</v>
      </c>
      <c r="H6" s="317" t="s">
        <v>588</v>
      </c>
      <c r="I6" s="318" t="s">
        <v>589</v>
      </c>
      <c r="J6" s="317" t="s">
        <v>588</v>
      </c>
      <c r="K6" s="318" t="s">
        <v>589</v>
      </c>
    </row>
    <row r="7" spans="1:11" ht="12.75">
      <c r="A7" s="249"/>
      <c r="B7" s="317"/>
      <c r="C7" s="319"/>
      <c r="D7" s="683">
        <f aca="true" t="shared" si="0" ref="D7:K7">SUM(D8:D10)</f>
        <v>2400</v>
      </c>
      <c r="E7" s="683">
        <f t="shared" si="0"/>
        <v>10</v>
      </c>
      <c r="F7" s="683">
        <f t="shared" si="0"/>
        <v>2400</v>
      </c>
      <c r="G7" s="683">
        <f t="shared" si="0"/>
        <v>5</v>
      </c>
      <c r="H7" s="683">
        <f t="shared" si="0"/>
        <v>2400</v>
      </c>
      <c r="I7" s="684">
        <f t="shared" si="0"/>
        <v>5</v>
      </c>
      <c r="J7" s="683">
        <f t="shared" si="0"/>
        <v>0</v>
      </c>
      <c r="K7" s="684">
        <f t="shared" si="0"/>
        <v>0</v>
      </c>
    </row>
    <row r="8" spans="1:11" ht="12.75" hidden="1">
      <c r="A8" s="320"/>
      <c r="B8" s="321"/>
      <c r="C8" s="319"/>
      <c r="D8" s="685"/>
      <c r="E8" s="685"/>
      <c r="F8" s="685"/>
      <c r="G8" s="685"/>
      <c r="H8" s="685"/>
      <c r="I8" s="686"/>
      <c r="J8" s="685"/>
      <c r="K8" s="686"/>
    </row>
    <row r="9" spans="1:11" ht="25.5">
      <c r="A9" s="159" t="s">
        <v>677</v>
      </c>
      <c r="B9" s="798" t="s">
        <v>516</v>
      </c>
      <c r="C9" s="322" t="s">
        <v>516</v>
      </c>
      <c r="D9" s="687">
        <v>2400</v>
      </c>
      <c r="E9" s="687">
        <v>10</v>
      </c>
      <c r="F9" s="687">
        <v>2400</v>
      </c>
      <c r="G9" s="687">
        <v>5</v>
      </c>
      <c r="H9" s="687">
        <v>2400</v>
      </c>
      <c r="I9" s="688">
        <v>5</v>
      </c>
      <c r="J9" s="687"/>
      <c r="K9" s="688"/>
    </row>
    <row r="10" spans="1:11" ht="13.5" thickBot="1">
      <c r="A10" s="323"/>
      <c r="B10" s="889" t="s">
        <v>590</v>
      </c>
      <c r="C10" s="890"/>
      <c r="D10" s="890"/>
      <c r="E10" s="890"/>
      <c r="F10" s="890"/>
      <c r="G10" s="890"/>
      <c r="H10" s="890"/>
      <c r="I10" s="891"/>
      <c r="J10" s="890"/>
      <c r="K10" s="890"/>
    </row>
    <row r="11" spans="1:9" ht="12.75">
      <c r="A11" s="85"/>
      <c r="B11" s="85"/>
      <c r="C11" s="85"/>
      <c r="D11" s="85"/>
      <c r="E11" s="85"/>
      <c r="F11" s="85"/>
      <c r="G11" s="85"/>
      <c r="H11" s="85"/>
      <c r="I11" s="85"/>
    </row>
  </sheetData>
  <sheetProtection password="C8D1" sheet="1" scenarios="1" formatRows="0"/>
  <mergeCells count="13">
    <mergeCell ref="A2:K2"/>
    <mergeCell ref="B10:I10"/>
    <mergeCell ref="H5:I5"/>
    <mergeCell ref="J5:K5"/>
    <mergeCell ref="H4:J4"/>
    <mergeCell ref="J10:K10"/>
    <mergeCell ref="D5:E5"/>
    <mergeCell ref="F5:G5"/>
    <mergeCell ref="A4:A6"/>
    <mergeCell ref="B4:B6"/>
    <mergeCell ref="C4:C6"/>
    <mergeCell ref="D4:E4"/>
    <mergeCell ref="F4:G4"/>
  </mergeCells>
  <dataValidations count="1">
    <dataValidation type="list" allowBlank="1" showInputMessage="1" showErrorMessage="1" sqref="C9">
      <formula1>aObjType1</formula1>
    </dataValidation>
  </dataValidations>
  <hyperlinks>
    <hyperlink ref="B10" tooltip="Кликните по гиперссылке для добавления новой строки" display="Добавить строки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19.5.01</dc:description>
  <cp:lastModifiedBy>plan2</cp:lastModifiedBy>
  <cp:lastPrinted>2018-04-25T13:44:21Z</cp:lastPrinted>
  <dcterms:created xsi:type="dcterms:W3CDTF">1996-10-08T23:32:33Z</dcterms:created>
  <dcterms:modified xsi:type="dcterms:W3CDTF">2018-04-26T13:41:53Z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PSK.HVS.5Y</vt:lpwstr>
  </property>
  <property fmtid="{D5CDD505-2E9C-101B-9397-08002B2CF9AE}" pid="3" name="CurrentVersion">
    <vt:lpwstr>19.5.01</vt:lpwstr>
  </property>
  <property fmtid="{D5CDD505-2E9C-101B-9397-08002B2CF9AE}" pid="4" name="TypePlanning">
    <vt:lpwstr>PLAN</vt:lpwstr>
  </property>
  <property fmtid="{D5CDD505-2E9C-101B-9397-08002B2CF9AE}" pid="5" name="Periodicity">
    <vt:lpwstr>REGU</vt:lpwstr>
  </property>
</Properties>
</file>